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\FOnline2\calc\"/>
    </mc:Choice>
  </mc:AlternateContent>
  <bookViews>
    <workbookView xWindow="120" yWindow="120" windowWidth="7575" windowHeight="14055"/>
  </bookViews>
  <sheets>
    <sheet name="DMG PLANNER" sheetId="1" r:id="rId1"/>
    <sheet name="CRIT TABLES" sheetId="4" r:id="rId2"/>
    <sheet name="Graphics" sheetId="9" r:id="rId3"/>
    <sheet name="WEAPONS" sheetId="2" r:id="rId4"/>
    <sheet name="AMMOS" sheetId="5" r:id="rId5"/>
    <sheet name="ATTACKER STATS" sheetId="8" r:id="rId6"/>
    <sheet name="TARGET STATS" sheetId="7" r:id="rId7"/>
    <sheet name="ARMORS" sheetId="3" r:id="rId8"/>
  </sheets>
  <definedNames>
    <definedName name="AMMOS">AMMOS!$B$5:$B$30</definedName>
    <definedName name="Anticrit">ARMORS!$B$60:$B$72</definedName>
    <definedName name="ANTICRITICAL">'TARGET STATS'!$B$9:$B$10</definedName>
    <definedName name="ARMORS">ARMORS!$B$5:$B$34</definedName>
    <definedName name="ARMORS1">ARMORS!$B$4:$B$34</definedName>
    <definedName name="AttackerImplants">'ATTACKER STATS'!$B$5:$B$7</definedName>
    <definedName name="BC">'ATTACKER STATS'!$B$34:$B$35</definedName>
    <definedName name="bonehead">'TARGET STATS'!$B$30:$B$31</definedName>
    <definedName name="BRD">'ATTACKER STATS'!$B$38:$B$40</definedName>
    <definedName name="Bruiser">'ATTACKER STATS'!$B$56:$B$57</definedName>
    <definedName name="CritChance">WEAPONS!$D$113:$D$121</definedName>
    <definedName name="critchance1">WEAPONS!$D$112:$D$121</definedName>
    <definedName name="CritRoll">WEAPONS!$E$113:$E$122</definedName>
    <definedName name="critroll1">WEAPONS!$E$112:$E$122</definedName>
    <definedName name="DefenceI">'TARGET STATS'!$B$13:$B$14</definedName>
    <definedName name="Endurance">'TARGET STATS'!$B$46:$B$55</definedName>
    <definedName name="fastshot">'ATTACKER STATS'!$B$52:$B$53</definedName>
    <definedName name="Finesse">'ATTACKER STATS'!$B$44:$B$45</definedName>
    <definedName name="Glow">'ATTACKER STATS'!$B$24:$B$25</definedName>
    <definedName name="kamikaze">'ATTACKER STATS'!$B$60:$B$61</definedName>
    <definedName name="living">'ATTACKER STATS'!$B$64:$B$65</definedName>
    <definedName name="LUCK">'ATTACKER STATS'!$B$11:$B$20</definedName>
    <definedName name="luck1">'TARGET STATS'!$B$34:$B$43</definedName>
    <definedName name="MaxDmg">WEAPONS!$C$113:$C$114</definedName>
    <definedName name="maxdmg1">WEAPONS!$C$112:$C$114</definedName>
    <definedName name="MeeleeDMG">WEAPONS!$B$127:$B$137</definedName>
    <definedName name="MinDmg">WEAPONS!$B$113:$B$114</definedName>
    <definedName name="mindmg1">WEAPONS!$B$112:$B$114</definedName>
    <definedName name="MoreCritical">'ATTACKER STATS'!$B$29:$B$31</definedName>
    <definedName name="Mutant">'TARGET STATS'!$B$23:$B$24</definedName>
    <definedName name="onehander">'ATTACKER STATS'!$B$48:$B$49</definedName>
    <definedName name="PSYCHO">'TARGET STATS'!$B$18:$B$19</definedName>
    <definedName name="pyro">'ATTACKER STATS'!$B$68:$B$69</definedName>
    <definedName name="Resist">ARMORS!$D$60:$D$70</definedName>
    <definedName name="SG">WEAPONS!$B$4:$B$36</definedName>
    <definedName name="Smallframe">'TARGET STATS'!$B$70:$B$71</definedName>
    <definedName name="strenght">'TARGET STATS'!$B$58:$B$67</definedName>
    <definedName name="TargetImplant">#REF!</definedName>
    <definedName name="TOUGHNESS">'TARGET STATS'!$B$4:$B$5</definedName>
    <definedName name="TOUGHNESS1">'TARGET STATS'!$B$3:$B$5</definedName>
    <definedName name="Treshold">ARMORS!$C$61:$C$64</definedName>
    <definedName name="Treshold1">ARMORS!$C$60:$C$64</definedName>
    <definedName name="WEAPONS">WEAPONS!$B$4:$B$104</definedName>
  </definedNames>
  <calcPr calcId="171027"/>
</workbook>
</file>

<file path=xl/calcChain.xml><?xml version="1.0" encoding="utf-8"?>
<calcChain xmlns="http://schemas.openxmlformats.org/spreadsheetml/2006/main">
  <c r="AC220" i="4" l="1"/>
  <c r="Y194" i="4"/>
  <c r="Y193" i="4"/>
  <c r="Y215" i="4"/>
  <c r="Y214" i="4"/>
  <c r="H25" i="1" l="1"/>
  <c r="Y177" i="4" l="1"/>
  <c r="Y170" i="4"/>
  <c r="Y169" i="4"/>
  <c r="Y176" i="4"/>
  <c r="Y158" i="4"/>
  <c r="Y157" i="4"/>
  <c r="Y137" i="4"/>
  <c r="Y132" i="4"/>
  <c r="Y127" i="4"/>
  <c r="F1936" i="4"/>
  <c r="F1935" i="4"/>
  <c r="F1934" i="4"/>
  <c r="F1933" i="4"/>
  <c r="F1932" i="4"/>
  <c r="H1930" i="4" s="1"/>
  <c r="F1926" i="4"/>
  <c r="F1925" i="4"/>
  <c r="F1924" i="4"/>
  <c r="F1923" i="4"/>
  <c r="F1922" i="4"/>
  <c r="H1920" i="4" s="1"/>
  <c r="F1916" i="4"/>
  <c r="F1915" i="4"/>
  <c r="F1914" i="4"/>
  <c r="F1913" i="4"/>
  <c r="F1912" i="4"/>
  <c r="H1910" i="4" s="1"/>
  <c r="F1906" i="4"/>
  <c r="F1905" i="4"/>
  <c r="F1904" i="4"/>
  <c r="F1903" i="4"/>
  <c r="F1902" i="4"/>
  <c r="H1900" i="4" s="1"/>
  <c r="F1896" i="4"/>
  <c r="F1895" i="4"/>
  <c r="F1894" i="4"/>
  <c r="F1893" i="4"/>
  <c r="F1892" i="4"/>
  <c r="H1890" i="4" s="1"/>
  <c r="F1886" i="4"/>
  <c r="F1885" i="4"/>
  <c r="F1884" i="4"/>
  <c r="F1883" i="4"/>
  <c r="F1882" i="4"/>
  <c r="H1880" i="4" s="1"/>
  <c r="F1876" i="4"/>
  <c r="F1875" i="4"/>
  <c r="F1874" i="4"/>
  <c r="F1873" i="4"/>
  <c r="F1872" i="4"/>
  <c r="F1871" i="4"/>
  <c r="H1870" i="4"/>
  <c r="F1866" i="4"/>
  <c r="F1865" i="4"/>
  <c r="F1864" i="4"/>
  <c r="F1863" i="4"/>
  <c r="F1862" i="4"/>
  <c r="F1861" i="4"/>
  <c r="H1860" i="4" s="1"/>
  <c r="F1856" i="4"/>
  <c r="F1855" i="4"/>
  <c r="F1854" i="4"/>
  <c r="F1853" i="4"/>
  <c r="F1852" i="4"/>
  <c r="F1851" i="4"/>
  <c r="H1850" i="4"/>
  <c r="F1846" i="4"/>
  <c r="F1845" i="4"/>
  <c r="F1844" i="4"/>
  <c r="F1843" i="4"/>
  <c r="F1842" i="4"/>
  <c r="F1841" i="4"/>
  <c r="H1840" i="4" s="1"/>
  <c r="F1836" i="4"/>
  <c r="F1835" i="4"/>
  <c r="F1834" i="4"/>
  <c r="F1833" i="4"/>
  <c r="F1832" i="4"/>
  <c r="F1831" i="4"/>
  <c r="H1830" i="4"/>
  <c r="F1826" i="4"/>
  <c r="F1825" i="4"/>
  <c r="F1824" i="4"/>
  <c r="F1823" i="4"/>
  <c r="F1822" i="4"/>
  <c r="F1821" i="4"/>
  <c r="H1820" i="4" s="1"/>
  <c r="F1816" i="4"/>
  <c r="F1815" i="4"/>
  <c r="F1814" i="4"/>
  <c r="F1813" i="4"/>
  <c r="F1812" i="4"/>
  <c r="F1811" i="4"/>
  <c r="H1810" i="4"/>
  <c r="F1806" i="4"/>
  <c r="F1805" i="4"/>
  <c r="F1804" i="4"/>
  <c r="F1803" i="4"/>
  <c r="F1802" i="4"/>
  <c r="F1801" i="4"/>
  <c r="H1800" i="4" s="1"/>
  <c r="F1796" i="4"/>
  <c r="F1795" i="4"/>
  <c r="F1794" i="4"/>
  <c r="F1793" i="4"/>
  <c r="F1792" i="4"/>
  <c r="F1791" i="4"/>
  <c r="H1790" i="4"/>
  <c r="F1786" i="4"/>
  <c r="F1785" i="4"/>
  <c r="F1784" i="4"/>
  <c r="F1783" i="4"/>
  <c r="F1782" i="4"/>
  <c r="F1781" i="4"/>
  <c r="H1780" i="4" s="1"/>
  <c r="F1776" i="4"/>
  <c r="F1775" i="4"/>
  <c r="F1774" i="4"/>
  <c r="F1773" i="4"/>
  <c r="F1772" i="4"/>
  <c r="F1771" i="4"/>
  <c r="H1770" i="4"/>
  <c r="F1766" i="4"/>
  <c r="F1765" i="4"/>
  <c r="F1764" i="4"/>
  <c r="F1763" i="4"/>
  <c r="F1762" i="4"/>
  <c r="F1761" i="4"/>
  <c r="H1760" i="4" s="1"/>
  <c r="F1756" i="4"/>
  <c r="F1755" i="4"/>
  <c r="F1754" i="4"/>
  <c r="F1753" i="4"/>
  <c r="F1752" i="4"/>
  <c r="F1751" i="4"/>
  <c r="H1750" i="4"/>
  <c r="F1746" i="4"/>
  <c r="F1745" i="4"/>
  <c r="F1744" i="4"/>
  <c r="F1743" i="4"/>
  <c r="F1742" i="4"/>
  <c r="F1741" i="4"/>
  <c r="H1740" i="4" s="1"/>
  <c r="F1736" i="4"/>
  <c r="F1735" i="4"/>
  <c r="F1734" i="4"/>
  <c r="F1733" i="4"/>
  <c r="F1732" i="4"/>
  <c r="F1731" i="4"/>
  <c r="H1730" i="4"/>
  <c r="F1725" i="4"/>
  <c r="F1724" i="4"/>
  <c r="F1723" i="4"/>
  <c r="F1722" i="4"/>
  <c r="F1721" i="4"/>
  <c r="H1720" i="4"/>
  <c r="F1720" i="4"/>
  <c r="F1715" i="4"/>
  <c r="F1714" i="4"/>
  <c r="F1713" i="4"/>
  <c r="F1712" i="4"/>
  <c r="F1711" i="4"/>
  <c r="F1710" i="4"/>
  <c r="H1710" i="4" s="1"/>
  <c r="F1705" i="4"/>
  <c r="F1704" i="4"/>
  <c r="F1703" i="4"/>
  <c r="F1702" i="4"/>
  <c r="F1701" i="4"/>
  <c r="H1700" i="4"/>
  <c r="F1700" i="4"/>
  <c r="F1695" i="4"/>
  <c r="F1694" i="4"/>
  <c r="F1693" i="4"/>
  <c r="F1692" i="4"/>
  <c r="F1691" i="4"/>
  <c r="F1690" i="4"/>
  <c r="H1690" i="4" s="1"/>
  <c r="F1685" i="4"/>
  <c r="F1684" i="4"/>
  <c r="F1683" i="4"/>
  <c r="F1682" i="4"/>
  <c r="F1681" i="4"/>
  <c r="H1680" i="4"/>
  <c r="F1680" i="4"/>
  <c r="F1675" i="4"/>
  <c r="F1674" i="4"/>
  <c r="F1673" i="4"/>
  <c r="F1672" i="4"/>
  <c r="F1671" i="4"/>
  <c r="F1670" i="4"/>
  <c r="H1670" i="4" s="1"/>
  <c r="F1665" i="4"/>
  <c r="F1664" i="4"/>
  <c r="F1663" i="4"/>
  <c r="F1662" i="4"/>
  <c r="F1661" i="4"/>
  <c r="H1660" i="4"/>
  <c r="F1660" i="4"/>
  <c r="F1655" i="4"/>
  <c r="F1654" i="4"/>
  <c r="F1653" i="4"/>
  <c r="F1652" i="4"/>
  <c r="F1651" i="4"/>
  <c r="F1650" i="4"/>
  <c r="H1650" i="4" s="1"/>
  <c r="F1645" i="4"/>
  <c r="F1644" i="4"/>
  <c r="F1643" i="4"/>
  <c r="F1642" i="4"/>
  <c r="F1641" i="4"/>
  <c r="H1640" i="4"/>
  <c r="F1640" i="4"/>
  <c r="F1634" i="4"/>
  <c r="T1633" i="4"/>
  <c r="F1633" i="4"/>
  <c r="T1632" i="4"/>
  <c r="F1632" i="4"/>
  <c r="T1631" i="4"/>
  <c r="F1631" i="4"/>
  <c r="T1630" i="4"/>
  <c r="F1630" i="4"/>
  <c r="T1629" i="4"/>
  <c r="V1629" i="4" s="1"/>
  <c r="F1629" i="4"/>
  <c r="H1629" i="4" s="1"/>
  <c r="F1616" i="4"/>
  <c r="F1615" i="4"/>
  <c r="F1614" i="4"/>
  <c r="F1613" i="4"/>
  <c r="F1612" i="4"/>
  <c r="H1610" i="4" s="1"/>
  <c r="F1606" i="4"/>
  <c r="F1605" i="4"/>
  <c r="F1604" i="4"/>
  <c r="F1603" i="4"/>
  <c r="F1602" i="4"/>
  <c r="H1600" i="4" s="1"/>
  <c r="F1596" i="4"/>
  <c r="F1595" i="4"/>
  <c r="F1594" i="4"/>
  <c r="F1593" i="4"/>
  <c r="F1592" i="4"/>
  <c r="H1590" i="4" s="1"/>
  <c r="F1586" i="4"/>
  <c r="F1585" i="4"/>
  <c r="F1584" i="4"/>
  <c r="F1583" i="4"/>
  <c r="F1582" i="4"/>
  <c r="H1580" i="4" s="1"/>
  <c r="F1576" i="4"/>
  <c r="F1575" i="4"/>
  <c r="F1574" i="4"/>
  <c r="F1573" i="4"/>
  <c r="F1572" i="4"/>
  <c r="H1570" i="4" s="1"/>
  <c r="F1566" i="4"/>
  <c r="F1565" i="4"/>
  <c r="F1564" i="4"/>
  <c r="F1563" i="4"/>
  <c r="F1562" i="4"/>
  <c r="H1560" i="4" s="1"/>
  <c r="F1556" i="4"/>
  <c r="F1555" i="4"/>
  <c r="F1554" i="4"/>
  <c r="F1553" i="4"/>
  <c r="F1552" i="4"/>
  <c r="F1551" i="4"/>
  <c r="H1550" i="4"/>
  <c r="F1546" i="4"/>
  <c r="F1545" i="4"/>
  <c r="F1544" i="4"/>
  <c r="F1543" i="4"/>
  <c r="F1542" i="4"/>
  <c r="F1541" i="4"/>
  <c r="H1540" i="4" s="1"/>
  <c r="F1536" i="4"/>
  <c r="F1535" i="4"/>
  <c r="F1534" i="4"/>
  <c r="F1533" i="4"/>
  <c r="F1532" i="4"/>
  <c r="F1531" i="4"/>
  <c r="H1530" i="4"/>
  <c r="F1526" i="4"/>
  <c r="F1525" i="4"/>
  <c r="F1524" i="4"/>
  <c r="F1523" i="4"/>
  <c r="F1522" i="4"/>
  <c r="F1521" i="4"/>
  <c r="H1520" i="4" s="1"/>
  <c r="F1516" i="4"/>
  <c r="F1515" i="4"/>
  <c r="F1514" i="4"/>
  <c r="F1513" i="4"/>
  <c r="F1512" i="4"/>
  <c r="F1511" i="4"/>
  <c r="H1510" i="4"/>
  <c r="F1506" i="4"/>
  <c r="F1505" i="4"/>
  <c r="F1504" i="4"/>
  <c r="F1503" i="4"/>
  <c r="F1502" i="4"/>
  <c r="F1501" i="4"/>
  <c r="H1500" i="4" s="1"/>
  <c r="F1496" i="4"/>
  <c r="F1495" i="4"/>
  <c r="F1494" i="4"/>
  <c r="F1493" i="4"/>
  <c r="F1492" i="4"/>
  <c r="F1491" i="4"/>
  <c r="H1490" i="4"/>
  <c r="F1486" i="4"/>
  <c r="F1485" i="4"/>
  <c r="F1484" i="4"/>
  <c r="F1483" i="4"/>
  <c r="F1482" i="4"/>
  <c r="F1481" i="4"/>
  <c r="H1480" i="4" s="1"/>
  <c r="F1476" i="4"/>
  <c r="F1475" i="4"/>
  <c r="F1474" i="4"/>
  <c r="F1473" i="4"/>
  <c r="F1472" i="4"/>
  <c r="F1471" i="4"/>
  <c r="H1470" i="4"/>
  <c r="F1466" i="4"/>
  <c r="F1465" i="4"/>
  <c r="F1464" i="4"/>
  <c r="F1463" i="4"/>
  <c r="F1462" i="4"/>
  <c r="F1461" i="4"/>
  <c r="H1460" i="4" s="1"/>
  <c r="F1456" i="4"/>
  <c r="F1455" i="4"/>
  <c r="F1454" i="4"/>
  <c r="F1453" i="4"/>
  <c r="F1452" i="4"/>
  <c r="F1451" i="4"/>
  <c r="H1450" i="4"/>
  <c r="F1446" i="4"/>
  <c r="F1445" i="4"/>
  <c r="F1444" i="4"/>
  <c r="F1443" i="4"/>
  <c r="F1442" i="4"/>
  <c r="F1441" i="4"/>
  <c r="H1440" i="4" s="1"/>
  <c r="F1436" i="4"/>
  <c r="F1435" i="4"/>
  <c r="F1434" i="4"/>
  <c r="F1433" i="4"/>
  <c r="F1432" i="4"/>
  <c r="F1431" i="4"/>
  <c r="H1430" i="4"/>
  <c r="F1426" i="4"/>
  <c r="F1425" i="4"/>
  <c r="F1424" i="4"/>
  <c r="F1423" i="4"/>
  <c r="F1422" i="4"/>
  <c r="F1421" i="4"/>
  <c r="H1420" i="4" s="1"/>
  <c r="F1416" i="4"/>
  <c r="F1415" i="4"/>
  <c r="F1414" i="4"/>
  <c r="F1413" i="4"/>
  <c r="F1412" i="4"/>
  <c r="F1411" i="4"/>
  <c r="H1410" i="4"/>
  <c r="F1405" i="4"/>
  <c r="F1404" i="4"/>
  <c r="F1403" i="4"/>
  <c r="F1402" i="4"/>
  <c r="F1401" i="4"/>
  <c r="H1400" i="4"/>
  <c r="F1400" i="4"/>
  <c r="F1395" i="4"/>
  <c r="F1394" i="4"/>
  <c r="F1393" i="4"/>
  <c r="F1392" i="4"/>
  <c r="F1391" i="4"/>
  <c r="F1390" i="4"/>
  <c r="H1390" i="4" s="1"/>
  <c r="F1385" i="4"/>
  <c r="F1384" i="4"/>
  <c r="F1383" i="4"/>
  <c r="F1382" i="4"/>
  <c r="F1381" i="4"/>
  <c r="H1380" i="4"/>
  <c r="F1380" i="4"/>
  <c r="F1375" i="4"/>
  <c r="F1374" i="4"/>
  <c r="F1373" i="4"/>
  <c r="F1372" i="4"/>
  <c r="F1371" i="4"/>
  <c r="F1370" i="4"/>
  <c r="H1370" i="4" s="1"/>
  <c r="F1365" i="4"/>
  <c r="F1364" i="4"/>
  <c r="F1363" i="4"/>
  <c r="F1362" i="4"/>
  <c r="F1361" i="4"/>
  <c r="H1360" i="4"/>
  <c r="F1360" i="4"/>
  <c r="F1355" i="4"/>
  <c r="F1354" i="4"/>
  <c r="F1353" i="4"/>
  <c r="F1352" i="4"/>
  <c r="F1351" i="4"/>
  <c r="F1350" i="4"/>
  <c r="H1350" i="4" s="1"/>
  <c r="F1345" i="4"/>
  <c r="F1344" i="4"/>
  <c r="F1343" i="4"/>
  <c r="F1342" i="4"/>
  <c r="F1341" i="4"/>
  <c r="H1340" i="4"/>
  <c r="F1340" i="4"/>
  <c r="F1335" i="4"/>
  <c r="F1334" i="4"/>
  <c r="F1333" i="4"/>
  <c r="F1332" i="4"/>
  <c r="F1331" i="4"/>
  <c r="F1330" i="4"/>
  <c r="H1330" i="4" s="1"/>
  <c r="F1325" i="4"/>
  <c r="F1324" i="4"/>
  <c r="F1323" i="4"/>
  <c r="F1322" i="4"/>
  <c r="F1321" i="4"/>
  <c r="H1320" i="4"/>
  <c r="F1320" i="4"/>
  <c r="F1314" i="4"/>
  <c r="T1313" i="4"/>
  <c r="F1313" i="4"/>
  <c r="T1312" i="4"/>
  <c r="F1312" i="4"/>
  <c r="T1311" i="4"/>
  <c r="F1311" i="4"/>
  <c r="T1310" i="4"/>
  <c r="F1310" i="4"/>
  <c r="T1309" i="4"/>
  <c r="V1309" i="4" s="1"/>
  <c r="F1309" i="4"/>
  <c r="H1309" i="4" s="1"/>
  <c r="R265" i="4"/>
  <c r="Q265" i="4"/>
  <c r="R264" i="4"/>
  <c r="Q264" i="4"/>
  <c r="Q256" i="4"/>
  <c r="R256" i="4"/>
  <c r="U250" i="4"/>
  <c r="V249" i="4"/>
  <c r="U249" i="4"/>
  <c r="R255" i="4"/>
  <c r="Q255" i="4"/>
  <c r="Q176" i="4"/>
  <c r="R176" i="4"/>
  <c r="R175" i="4"/>
  <c r="U194" i="4"/>
  <c r="T194" i="4"/>
  <c r="Q242" i="4"/>
  <c r="R242" i="4"/>
  <c r="Q195" i="4"/>
  <c r="R195" i="4"/>
  <c r="R230" i="4"/>
  <c r="Q230" i="4"/>
  <c r="R229" i="4"/>
  <c r="Q219" i="4"/>
  <c r="R219" i="4"/>
  <c r="R207" i="4"/>
  <c r="Q207" i="4"/>
  <c r="R206" i="4"/>
  <c r="Q206" i="4"/>
  <c r="R205" i="4"/>
  <c r="R194" i="4"/>
  <c r="Q194" i="4"/>
  <c r="R183" i="4"/>
  <c r="R182" i="4"/>
  <c r="Q183" i="4"/>
  <c r="Q182" i="4"/>
  <c r="Q175" i="4"/>
  <c r="R164" i="4"/>
  <c r="Q164" i="4"/>
  <c r="R163" i="4"/>
  <c r="Q163" i="4"/>
  <c r="R147" i="4"/>
  <c r="Q147" i="4"/>
  <c r="Q148" i="4" s="1"/>
  <c r="R143" i="4"/>
  <c r="Q143" i="4"/>
  <c r="R142" i="4"/>
  <c r="R144" i="4" s="1"/>
  <c r="Q142" i="4"/>
  <c r="Q144" i="4" s="1"/>
  <c r="R148" i="4" l="1"/>
  <c r="F1298" i="4"/>
  <c r="F1297" i="4"/>
  <c r="F1296" i="4"/>
  <c r="F1295" i="4"/>
  <c r="F1294" i="4"/>
  <c r="H1292" i="4"/>
  <c r="F1288" i="4"/>
  <c r="F1287" i="4"/>
  <c r="F1286" i="4"/>
  <c r="F1285" i="4"/>
  <c r="F1284" i="4"/>
  <c r="H1282" i="4"/>
  <c r="F1278" i="4"/>
  <c r="F1277" i="4"/>
  <c r="F1276" i="4"/>
  <c r="F1275" i="4"/>
  <c r="F1274" i="4"/>
  <c r="H1272" i="4"/>
  <c r="F1268" i="4"/>
  <c r="F1267" i="4"/>
  <c r="F1266" i="4"/>
  <c r="F1265" i="4"/>
  <c r="F1264" i="4"/>
  <c r="H1262" i="4"/>
  <c r="F1258" i="4"/>
  <c r="F1257" i="4"/>
  <c r="F1256" i="4"/>
  <c r="F1255" i="4"/>
  <c r="F1254" i="4"/>
  <c r="H1252" i="4"/>
  <c r="F1248" i="4"/>
  <c r="F1247" i="4"/>
  <c r="F1246" i="4"/>
  <c r="F1245" i="4"/>
  <c r="F1244" i="4"/>
  <c r="H1242" i="4"/>
  <c r="F1238" i="4"/>
  <c r="F1237" i="4"/>
  <c r="F1236" i="4"/>
  <c r="F1235" i="4"/>
  <c r="F1234" i="4"/>
  <c r="F1233" i="4"/>
  <c r="H1232" i="4" s="1"/>
  <c r="F1228" i="4"/>
  <c r="F1227" i="4"/>
  <c r="F1226" i="4"/>
  <c r="F1225" i="4"/>
  <c r="F1224" i="4"/>
  <c r="F1223" i="4"/>
  <c r="H1222" i="4" s="1"/>
  <c r="F1218" i="4"/>
  <c r="F1217" i="4"/>
  <c r="F1216" i="4"/>
  <c r="F1215" i="4"/>
  <c r="F1214" i="4"/>
  <c r="F1213" i="4"/>
  <c r="F1208" i="4"/>
  <c r="F1207" i="4"/>
  <c r="F1206" i="4"/>
  <c r="F1205" i="4"/>
  <c r="F1204" i="4"/>
  <c r="F1203" i="4"/>
  <c r="H1202" i="4" s="1"/>
  <c r="F1198" i="4"/>
  <c r="F1197" i="4"/>
  <c r="F1196" i="4"/>
  <c r="F1195" i="4"/>
  <c r="F1194" i="4"/>
  <c r="F1193" i="4"/>
  <c r="F1188" i="4"/>
  <c r="F1187" i="4"/>
  <c r="F1186" i="4"/>
  <c r="F1185" i="4"/>
  <c r="F1184" i="4"/>
  <c r="F1183" i="4"/>
  <c r="F1178" i="4"/>
  <c r="F1177" i="4"/>
  <c r="F1176" i="4"/>
  <c r="F1175" i="4"/>
  <c r="F1174" i="4"/>
  <c r="F1173" i="4"/>
  <c r="F1168" i="4"/>
  <c r="F1167" i="4"/>
  <c r="F1166" i="4"/>
  <c r="F1165" i="4"/>
  <c r="F1164" i="4"/>
  <c r="F1163" i="4"/>
  <c r="H1162" i="4"/>
  <c r="F1158" i="4"/>
  <c r="F1157" i="4"/>
  <c r="F1156" i="4"/>
  <c r="F1155" i="4"/>
  <c r="F1154" i="4"/>
  <c r="F1153" i="4"/>
  <c r="H1152" i="4" s="1"/>
  <c r="F1148" i="4"/>
  <c r="F1147" i="4"/>
  <c r="F1146" i="4"/>
  <c r="F1145" i="4"/>
  <c r="F1144" i="4"/>
  <c r="F1143" i="4"/>
  <c r="H1142" i="4" s="1"/>
  <c r="F1138" i="4"/>
  <c r="F1137" i="4"/>
  <c r="F1136" i="4"/>
  <c r="F1135" i="4"/>
  <c r="F1134" i="4"/>
  <c r="F1133" i="4"/>
  <c r="F1128" i="4"/>
  <c r="F1127" i="4"/>
  <c r="F1126" i="4"/>
  <c r="F1125" i="4"/>
  <c r="F1124" i="4"/>
  <c r="F1123" i="4"/>
  <c r="H1122" i="4" s="1"/>
  <c r="F1118" i="4"/>
  <c r="F1117" i="4"/>
  <c r="F1116" i="4"/>
  <c r="F1115" i="4"/>
  <c r="F1114" i="4"/>
  <c r="F1113" i="4"/>
  <c r="F1108" i="4"/>
  <c r="F1107" i="4"/>
  <c r="F1106" i="4"/>
  <c r="F1105" i="4"/>
  <c r="F1104" i="4"/>
  <c r="F1103" i="4"/>
  <c r="F1098" i="4"/>
  <c r="F1097" i="4"/>
  <c r="F1096" i="4"/>
  <c r="F1095" i="4"/>
  <c r="F1094" i="4"/>
  <c r="F1093" i="4"/>
  <c r="F1087" i="4"/>
  <c r="F1086" i="4"/>
  <c r="F1085" i="4"/>
  <c r="F1084" i="4"/>
  <c r="F1083" i="4"/>
  <c r="F1082" i="4"/>
  <c r="F1077" i="4"/>
  <c r="F1076" i="4"/>
  <c r="F1075" i="4"/>
  <c r="F1074" i="4"/>
  <c r="F1073" i="4"/>
  <c r="F1072" i="4"/>
  <c r="H1072" i="4" s="1"/>
  <c r="F1067" i="4"/>
  <c r="F1066" i="4"/>
  <c r="F1065" i="4"/>
  <c r="F1064" i="4"/>
  <c r="F1063" i="4"/>
  <c r="F1062" i="4"/>
  <c r="H1062" i="4" s="1"/>
  <c r="F1057" i="4"/>
  <c r="F1056" i="4"/>
  <c r="F1055" i="4"/>
  <c r="F1054" i="4"/>
  <c r="F1053" i="4"/>
  <c r="H1052" i="4"/>
  <c r="F1052" i="4"/>
  <c r="F1047" i="4"/>
  <c r="F1046" i="4"/>
  <c r="F1045" i="4"/>
  <c r="F1044" i="4"/>
  <c r="F1043" i="4"/>
  <c r="F1042" i="4"/>
  <c r="F1037" i="4"/>
  <c r="F1036" i="4"/>
  <c r="F1035" i="4"/>
  <c r="F1034" i="4"/>
  <c r="F1033" i="4"/>
  <c r="F1032" i="4"/>
  <c r="F1027" i="4"/>
  <c r="F1026" i="4"/>
  <c r="F1025" i="4"/>
  <c r="F1024" i="4"/>
  <c r="F1023" i="4"/>
  <c r="F1022" i="4"/>
  <c r="F1017" i="4"/>
  <c r="F1016" i="4"/>
  <c r="F1015" i="4"/>
  <c r="F1014" i="4"/>
  <c r="F1013" i="4"/>
  <c r="F1012" i="4"/>
  <c r="H1012" i="4" s="1"/>
  <c r="F1007" i="4"/>
  <c r="F1006" i="4"/>
  <c r="F1005" i="4"/>
  <c r="F1004" i="4"/>
  <c r="F1003" i="4"/>
  <c r="F1002" i="4"/>
  <c r="F996" i="4"/>
  <c r="T995" i="4"/>
  <c r="F995" i="4"/>
  <c r="T994" i="4"/>
  <c r="F994" i="4"/>
  <c r="T993" i="4"/>
  <c r="F993" i="4"/>
  <c r="T992" i="4"/>
  <c r="F992" i="4"/>
  <c r="T991" i="4"/>
  <c r="V991" i="4" s="1"/>
  <c r="F991" i="4"/>
  <c r="H991" i="4" s="1"/>
  <c r="F981" i="4"/>
  <c r="F980" i="4"/>
  <c r="F979" i="4"/>
  <c r="F978" i="4"/>
  <c r="F977" i="4"/>
  <c r="H975" i="4"/>
  <c r="F971" i="4"/>
  <c r="F970" i="4"/>
  <c r="F969" i="4"/>
  <c r="F968" i="4"/>
  <c r="F967" i="4"/>
  <c r="H965" i="4"/>
  <c r="F961" i="4"/>
  <c r="F960" i="4"/>
  <c r="F959" i="4"/>
  <c r="F958" i="4"/>
  <c r="F957" i="4"/>
  <c r="H955" i="4"/>
  <c r="F951" i="4"/>
  <c r="F950" i="4"/>
  <c r="F949" i="4"/>
  <c r="F948" i="4"/>
  <c r="F947" i="4"/>
  <c r="H945" i="4"/>
  <c r="F941" i="4"/>
  <c r="F940" i="4"/>
  <c r="F939" i="4"/>
  <c r="F938" i="4"/>
  <c r="F937" i="4"/>
  <c r="H935" i="4"/>
  <c r="F931" i="4"/>
  <c r="F930" i="4"/>
  <c r="F929" i="4"/>
  <c r="F928" i="4"/>
  <c r="F927" i="4"/>
  <c r="H925" i="4"/>
  <c r="F921" i="4"/>
  <c r="F920" i="4"/>
  <c r="F919" i="4"/>
  <c r="F918" i="4"/>
  <c r="F917" i="4"/>
  <c r="F916" i="4"/>
  <c r="H915" i="4" s="1"/>
  <c r="F911" i="4"/>
  <c r="F910" i="4"/>
  <c r="F909" i="4"/>
  <c r="F908" i="4"/>
  <c r="F907" i="4"/>
  <c r="F906" i="4"/>
  <c r="H905" i="4" s="1"/>
  <c r="F901" i="4"/>
  <c r="F900" i="4"/>
  <c r="F899" i="4"/>
  <c r="F898" i="4"/>
  <c r="F897" i="4"/>
  <c r="F896" i="4"/>
  <c r="F891" i="4"/>
  <c r="F890" i="4"/>
  <c r="F889" i="4"/>
  <c r="F888" i="4"/>
  <c r="F887" i="4"/>
  <c r="F886" i="4"/>
  <c r="H885" i="4" s="1"/>
  <c r="F881" i="4"/>
  <c r="F880" i="4"/>
  <c r="F879" i="4"/>
  <c r="F878" i="4"/>
  <c r="F877" i="4"/>
  <c r="F876" i="4"/>
  <c r="F871" i="4"/>
  <c r="F870" i="4"/>
  <c r="F869" i="4"/>
  <c r="F868" i="4"/>
  <c r="F867" i="4"/>
  <c r="F866" i="4"/>
  <c r="F861" i="4"/>
  <c r="F860" i="4"/>
  <c r="F859" i="4"/>
  <c r="F858" i="4"/>
  <c r="F857" i="4"/>
  <c r="F856" i="4"/>
  <c r="F851" i="4"/>
  <c r="F850" i="4"/>
  <c r="F849" i="4"/>
  <c r="F848" i="4"/>
  <c r="F847" i="4"/>
  <c r="F846" i="4"/>
  <c r="H845" i="4"/>
  <c r="F841" i="4"/>
  <c r="F840" i="4"/>
  <c r="F839" i="4"/>
  <c r="F838" i="4"/>
  <c r="F837" i="4"/>
  <c r="F836" i="4"/>
  <c r="H835" i="4" s="1"/>
  <c r="F831" i="4"/>
  <c r="F830" i="4"/>
  <c r="F829" i="4"/>
  <c r="F828" i="4"/>
  <c r="F827" i="4"/>
  <c r="F826" i="4"/>
  <c r="H825" i="4" s="1"/>
  <c r="F821" i="4"/>
  <c r="F820" i="4"/>
  <c r="F819" i="4"/>
  <c r="F818" i="4"/>
  <c r="F817" i="4"/>
  <c r="F816" i="4"/>
  <c r="F811" i="4"/>
  <c r="F810" i="4"/>
  <c r="F809" i="4"/>
  <c r="F808" i="4"/>
  <c r="F807" i="4"/>
  <c r="F806" i="4"/>
  <c r="H805" i="4" s="1"/>
  <c r="F801" i="4"/>
  <c r="F800" i="4"/>
  <c r="F799" i="4"/>
  <c r="F798" i="4"/>
  <c r="F797" i="4"/>
  <c r="F796" i="4"/>
  <c r="F791" i="4"/>
  <c r="F790" i="4"/>
  <c r="F789" i="4"/>
  <c r="F788" i="4"/>
  <c r="F787" i="4"/>
  <c r="F786" i="4"/>
  <c r="F781" i="4"/>
  <c r="F780" i="4"/>
  <c r="F779" i="4"/>
  <c r="F778" i="4"/>
  <c r="F777" i="4"/>
  <c r="F776" i="4"/>
  <c r="F770" i="4"/>
  <c r="F769" i="4"/>
  <c r="F768" i="4"/>
  <c r="F767" i="4"/>
  <c r="F766" i="4"/>
  <c r="F765" i="4"/>
  <c r="F760" i="4"/>
  <c r="F759" i="4"/>
  <c r="F758" i="4"/>
  <c r="F757" i="4"/>
  <c r="F756" i="4"/>
  <c r="F755" i="4"/>
  <c r="F750" i="4"/>
  <c r="F749" i="4"/>
  <c r="F748" i="4"/>
  <c r="F747" i="4"/>
  <c r="F746" i="4"/>
  <c r="F745" i="4"/>
  <c r="F740" i="4"/>
  <c r="F739" i="4"/>
  <c r="F738" i="4"/>
  <c r="F737" i="4"/>
  <c r="F736" i="4"/>
  <c r="F735" i="4"/>
  <c r="H735" i="4" s="1"/>
  <c r="F730" i="4"/>
  <c r="F729" i="4"/>
  <c r="F728" i="4"/>
  <c r="F727" i="4"/>
  <c r="F726" i="4"/>
  <c r="F725" i="4"/>
  <c r="F720" i="4"/>
  <c r="F719" i="4"/>
  <c r="F718" i="4"/>
  <c r="F717" i="4"/>
  <c r="F716" i="4"/>
  <c r="F715" i="4"/>
  <c r="H715" i="4" s="1"/>
  <c r="F710" i="4"/>
  <c r="F709" i="4"/>
  <c r="F708" i="4"/>
  <c r="F707" i="4"/>
  <c r="F706" i="4"/>
  <c r="F705" i="4"/>
  <c r="H705" i="4" s="1"/>
  <c r="F700" i="4"/>
  <c r="F699" i="4"/>
  <c r="F698" i="4"/>
  <c r="F697" i="4"/>
  <c r="F696" i="4"/>
  <c r="H695" i="4"/>
  <c r="F695" i="4"/>
  <c r="F690" i="4"/>
  <c r="F689" i="4"/>
  <c r="F688" i="4"/>
  <c r="F687" i="4"/>
  <c r="F686" i="4"/>
  <c r="F685" i="4"/>
  <c r="F679" i="4"/>
  <c r="T678" i="4"/>
  <c r="F678" i="4"/>
  <c r="T677" i="4"/>
  <c r="F677" i="4"/>
  <c r="T676" i="4"/>
  <c r="F676" i="4"/>
  <c r="T675" i="4"/>
  <c r="F675" i="4"/>
  <c r="T674" i="4"/>
  <c r="V674" i="4" s="1"/>
  <c r="F674" i="4"/>
  <c r="H674" i="4" s="1"/>
  <c r="M126" i="4"/>
  <c r="M120" i="4"/>
  <c r="M121" i="4"/>
  <c r="M115" i="4"/>
  <c r="H745" i="4" l="1"/>
  <c r="H755" i="4"/>
  <c r="H785" i="4"/>
  <c r="H795" i="4"/>
  <c r="H865" i="4"/>
  <c r="H875" i="4"/>
  <c r="H1102" i="4"/>
  <c r="H1112" i="4"/>
  <c r="H1182" i="4"/>
  <c r="H1192" i="4"/>
  <c r="H1022" i="4"/>
  <c r="H1032" i="4"/>
  <c r="H685" i="4"/>
  <c r="H725" i="4"/>
  <c r="H765" i="4"/>
  <c r="H775" i="4"/>
  <c r="H815" i="4"/>
  <c r="H855" i="4"/>
  <c r="H895" i="4"/>
  <c r="H1002" i="4"/>
  <c r="H1042" i="4"/>
  <c r="H1082" i="4"/>
  <c r="H1092" i="4"/>
  <c r="H1132" i="4"/>
  <c r="H1172" i="4"/>
  <c r="H1212" i="4"/>
  <c r="M111" i="4"/>
  <c r="M110" i="4"/>
  <c r="M105" i="4"/>
  <c r="F358" i="4"/>
  <c r="U354" i="4"/>
  <c r="U355" i="4"/>
  <c r="U356" i="4"/>
  <c r="U357" i="4"/>
  <c r="U358" i="4"/>
  <c r="U359" i="4"/>
  <c r="U353" i="4"/>
  <c r="T357" i="4"/>
  <c r="T356" i="4"/>
  <c r="T355" i="4"/>
  <c r="T354" i="4"/>
  <c r="T353" i="4"/>
  <c r="F660" i="4"/>
  <c r="F659" i="4"/>
  <c r="F658" i="4"/>
  <c r="F657" i="4"/>
  <c r="F656" i="4"/>
  <c r="H654" i="4" s="1"/>
  <c r="F650" i="4"/>
  <c r="F649" i="4"/>
  <c r="F648" i="4"/>
  <c r="F647" i="4"/>
  <c r="F646" i="4"/>
  <c r="F640" i="4"/>
  <c r="F639" i="4"/>
  <c r="F638" i="4"/>
  <c r="F637" i="4"/>
  <c r="F636" i="4"/>
  <c r="H634" i="4" s="1"/>
  <c r="F630" i="4"/>
  <c r="F629" i="4"/>
  <c r="F628" i="4"/>
  <c r="F627" i="4"/>
  <c r="F626" i="4"/>
  <c r="F620" i="4"/>
  <c r="F619" i="4"/>
  <c r="F618" i="4"/>
  <c r="F617" i="4"/>
  <c r="F616" i="4"/>
  <c r="H614" i="4" s="1"/>
  <c r="F610" i="4"/>
  <c r="F609" i="4"/>
  <c r="F608" i="4"/>
  <c r="F607" i="4"/>
  <c r="F606" i="4"/>
  <c r="F600" i="4"/>
  <c r="F599" i="4"/>
  <c r="F598" i="4"/>
  <c r="F597" i="4"/>
  <c r="F596" i="4"/>
  <c r="F595" i="4"/>
  <c r="F590" i="4"/>
  <c r="F589" i="4"/>
  <c r="F588" i="4"/>
  <c r="F587" i="4"/>
  <c r="F586" i="4"/>
  <c r="F585" i="4"/>
  <c r="H584" i="4"/>
  <c r="F580" i="4"/>
  <c r="F579" i="4"/>
  <c r="F578" i="4"/>
  <c r="F577" i="4"/>
  <c r="F576" i="4"/>
  <c r="F575" i="4"/>
  <c r="H574" i="4" s="1"/>
  <c r="F570" i="4"/>
  <c r="F569" i="4"/>
  <c r="F568" i="4"/>
  <c r="F567" i="4"/>
  <c r="F566" i="4"/>
  <c r="F565" i="4"/>
  <c r="H564" i="4" s="1"/>
  <c r="F560" i="4"/>
  <c r="F559" i="4"/>
  <c r="F558" i="4"/>
  <c r="F557" i="4"/>
  <c r="F556" i="4"/>
  <c r="F555" i="4"/>
  <c r="F550" i="4"/>
  <c r="F549" i="4"/>
  <c r="F548" i="4"/>
  <c r="F547" i="4"/>
  <c r="F546" i="4"/>
  <c r="F545" i="4"/>
  <c r="H544" i="4" s="1"/>
  <c r="F540" i="4"/>
  <c r="F539" i="4"/>
  <c r="F538" i="4"/>
  <c r="F537" i="4"/>
  <c r="F536" i="4"/>
  <c r="F535" i="4"/>
  <c r="F530" i="4"/>
  <c r="F529" i="4"/>
  <c r="F528" i="4"/>
  <c r="F527" i="4"/>
  <c r="F526" i="4"/>
  <c r="F525" i="4"/>
  <c r="F520" i="4"/>
  <c r="F519" i="4"/>
  <c r="F518" i="4"/>
  <c r="F517" i="4"/>
  <c r="F516" i="4"/>
  <c r="F515" i="4"/>
  <c r="F510" i="4"/>
  <c r="F509" i="4"/>
  <c r="F508" i="4"/>
  <c r="F507" i="4"/>
  <c r="F506" i="4"/>
  <c r="F505" i="4"/>
  <c r="H504" i="4" s="1"/>
  <c r="F500" i="4"/>
  <c r="F499" i="4"/>
  <c r="F498" i="4"/>
  <c r="F497" i="4"/>
  <c r="F496" i="4"/>
  <c r="F495" i="4"/>
  <c r="H494" i="4" s="1"/>
  <c r="F490" i="4"/>
  <c r="F489" i="4"/>
  <c r="F488" i="4"/>
  <c r="F487" i="4"/>
  <c r="F486" i="4"/>
  <c r="F485" i="4"/>
  <c r="H484" i="4" s="1"/>
  <c r="F480" i="4"/>
  <c r="F479" i="4"/>
  <c r="F478" i="4"/>
  <c r="F477" i="4"/>
  <c r="F476" i="4"/>
  <c r="F475" i="4"/>
  <c r="F470" i="4"/>
  <c r="F469" i="4"/>
  <c r="F468" i="4"/>
  <c r="F467" i="4"/>
  <c r="F466" i="4"/>
  <c r="F465" i="4"/>
  <c r="H464" i="4" s="1"/>
  <c r="F460" i="4"/>
  <c r="F459" i="4"/>
  <c r="F458" i="4"/>
  <c r="F457" i="4"/>
  <c r="F456" i="4"/>
  <c r="F455" i="4"/>
  <c r="F449" i="4"/>
  <c r="F448" i="4"/>
  <c r="F447" i="4"/>
  <c r="F446" i="4"/>
  <c r="F445" i="4"/>
  <c r="F444" i="4"/>
  <c r="H444" i="4" s="1"/>
  <c r="F439" i="4"/>
  <c r="F438" i="4"/>
  <c r="F437" i="4"/>
  <c r="F436" i="4"/>
  <c r="F435" i="4"/>
  <c r="H434" i="4"/>
  <c r="F434" i="4"/>
  <c r="F429" i="4"/>
  <c r="F428" i="4"/>
  <c r="F427" i="4"/>
  <c r="F426" i="4"/>
  <c r="F425" i="4"/>
  <c r="F424" i="4"/>
  <c r="F419" i="4"/>
  <c r="F418" i="4"/>
  <c r="F417" i="4"/>
  <c r="F416" i="4"/>
  <c r="F415" i="4"/>
  <c r="F414" i="4"/>
  <c r="F409" i="4"/>
  <c r="F408" i="4"/>
  <c r="F407" i="4"/>
  <c r="F406" i="4"/>
  <c r="F405" i="4"/>
  <c r="F404" i="4"/>
  <c r="H404" i="4" s="1"/>
  <c r="F399" i="4"/>
  <c r="F398" i="4"/>
  <c r="F397" i="4"/>
  <c r="F396" i="4"/>
  <c r="F395" i="4"/>
  <c r="H394" i="4"/>
  <c r="F394" i="4"/>
  <c r="F389" i="4"/>
  <c r="F388" i="4"/>
  <c r="F387" i="4"/>
  <c r="F386" i="4"/>
  <c r="F385" i="4"/>
  <c r="F384" i="4"/>
  <c r="F379" i="4"/>
  <c r="F378" i="4"/>
  <c r="F377" i="4"/>
  <c r="F376" i="4"/>
  <c r="F375" i="4"/>
  <c r="F374" i="4"/>
  <c r="F369" i="4"/>
  <c r="F368" i="4"/>
  <c r="F367" i="4"/>
  <c r="F366" i="4"/>
  <c r="F365" i="4"/>
  <c r="F364" i="4"/>
  <c r="H364" i="4" s="1"/>
  <c r="F357" i="4"/>
  <c r="F356" i="4"/>
  <c r="F355" i="4"/>
  <c r="F354" i="4"/>
  <c r="F353" i="4"/>
  <c r="H374" i="4" l="1"/>
  <c r="H454" i="4"/>
  <c r="H524" i="4"/>
  <c r="H534" i="4"/>
  <c r="H604" i="4"/>
  <c r="H624" i="4"/>
  <c r="H644" i="4"/>
  <c r="H414" i="4"/>
  <c r="V353" i="4"/>
  <c r="H353" i="4"/>
  <c r="H384" i="4"/>
  <c r="H424" i="4"/>
  <c r="H474" i="4"/>
  <c r="H514" i="4"/>
  <c r="H554" i="4"/>
  <c r="H594" i="4"/>
  <c r="N21" i="1"/>
  <c r="AC221" i="4" l="1"/>
  <c r="AC222" i="4" s="1"/>
  <c r="H21" i="1"/>
  <c r="I25" i="1"/>
  <c r="G35" i="1" s="1"/>
  <c r="J35" i="1" l="1"/>
  <c r="I35" i="1"/>
  <c r="I30" i="1"/>
  <c r="M35" i="1"/>
  <c r="X178" i="4" s="1"/>
  <c r="K35" i="1"/>
  <c r="L35" i="1"/>
  <c r="AA193" i="4" s="1"/>
  <c r="M21" i="1"/>
  <c r="H35" i="1" s="1"/>
  <c r="AA217" i="4" l="1"/>
  <c r="AA197" i="4"/>
  <c r="L43" i="1"/>
  <c r="M43" i="1"/>
  <c r="X176" i="4"/>
  <c r="X177" i="4"/>
  <c r="K43" i="1"/>
  <c r="X137" i="4"/>
  <c r="X170" i="4"/>
  <c r="X138" i="4"/>
  <c r="X171" i="4"/>
  <c r="X169" i="4"/>
  <c r="J43" i="1"/>
  <c r="X158" i="4"/>
  <c r="X159" i="4"/>
  <c r="X157" i="4"/>
  <c r="X127" i="4"/>
  <c r="X133" i="4"/>
  <c r="X132" i="4"/>
  <c r="I43" i="1"/>
  <c r="X128" i="4"/>
  <c r="L105" i="4"/>
  <c r="L127" i="4"/>
  <c r="L126" i="4"/>
  <c r="L121" i="4"/>
  <c r="L120" i="4"/>
  <c r="L116" i="4"/>
  <c r="L115" i="4"/>
  <c r="L111" i="4"/>
  <c r="L110" i="4"/>
  <c r="L106" i="4"/>
  <c r="W4" i="2"/>
  <c r="V4" i="2"/>
  <c r="AA199" i="4" l="1"/>
  <c r="AB197" i="4" s="1"/>
  <c r="AC197" i="4" s="1"/>
  <c r="X197" i="4" s="1"/>
  <c r="AA219" i="4"/>
  <c r="Z176" i="4"/>
  <c r="Z169" i="4"/>
  <c r="Z132" i="4"/>
  <c r="Z157" i="4"/>
  <c r="Z137" i="4"/>
  <c r="Z127" i="4"/>
  <c r="N115" i="4"/>
  <c r="K59" i="1" s="1"/>
  <c r="N126" i="4"/>
  <c r="M59" i="1" s="1"/>
  <c r="L122" i="4"/>
  <c r="N120" i="4" s="1"/>
  <c r="N110" i="4"/>
  <c r="J59" i="1" s="1"/>
  <c r="N105" i="4"/>
  <c r="L21" i="1"/>
  <c r="B21" i="1"/>
  <c r="F341" i="4"/>
  <c r="F340" i="4"/>
  <c r="F339" i="4"/>
  <c r="F338" i="4"/>
  <c r="F337" i="4"/>
  <c r="F331" i="4"/>
  <c r="F330" i="4"/>
  <c r="F329" i="4"/>
  <c r="F328" i="4"/>
  <c r="F327" i="4"/>
  <c r="F321" i="4"/>
  <c r="F320" i="4"/>
  <c r="F319" i="4"/>
  <c r="F318" i="4"/>
  <c r="F317" i="4"/>
  <c r="H315" i="4" s="1"/>
  <c r="F311" i="4"/>
  <c r="F310" i="4"/>
  <c r="F309" i="4"/>
  <c r="F308" i="4"/>
  <c r="F307" i="4"/>
  <c r="F301" i="4"/>
  <c r="F300" i="4"/>
  <c r="F299" i="4"/>
  <c r="F298" i="4"/>
  <c r="F297" i="4"/>
  <c r="F291" i="4"/>
  <c r="F290" i="4"/>
  <c r="F289" i="4"/>
  <c r="F288" i="4"/>
  <c r="F287" i="4"/>
  <c r="F281" i="4"/>
  <c r="F280" i="4"/>
  <c r="F279" i="4"/>
  <c r="F278" i="4"/>
  <c r="F277" i="4"/>
  <c r="F276" i="4"/>
  <c r="F271" i="4"/>
  <c r="F270" i="4"/>
  <c r="F269" i="4"/>
  <c r="F268" i="4"/>
  <c r="F267" i="4"/>
  <c r="F266" i="4"/>
  <c r="F261" i="4"/>
  <c r="F260" i="4"/>
  <c r="F259" i="4"/>
  <c r="F258" i="4"/>
  <c r="F257" i="4"/>
  <c r="F256" i="4"/>
  <c r="F251" i="4"/>
  <c r="F250" i="4"/>
  <c r="F249" i="4"/>
  <c r="F248" i="4"/>
  <c r="F247" i="4"/>
  <c r="F246" i="4"/>
  <c r="F241" i="4"/>
  <c r="F240" i="4"/>
  <c r="F239" i="4"/>
  <c r="F238" i="4"/>
  <c r="F237" i="4"/>
  <c r="F236" i="4"/>
  <c r="F231" i="4"/>
  <c r="F230" i="4"/>
  <c r="F229" i="4"/>
  <c r="F228" i="4"/>
  <c r="F227" i="4"/>
  <c r="F226" i="4"/>
  <c r="F221" i="4"/>
  <c r="F220" i="4"/>
  <c r="F219" i="4"/>
  <c r="F218" i="4"/>
  <c r="F217" i="4"/>
  <c r="F216" i="4"/>
  <c r="F211" i="4"/>
  <c r="F210" i="4"/>
  <c r="F209" i="4"/>
  <c r="F208" i="4"/>
  <c r="F207" i="4"/>
  <c r="F206" i="4"/>
  <c r="F201" i="4"/>
  <c r="F200" i="4"/>
  <c r="F199" i="4"/>
  <c r="F198" i="4"/>
  <c r="F197" i="4"/>
  <c r="F196" i="4"/>
  <c r="F191" i="4"/>
  <c r="F190" i="4"/>
  <c r="F189" i="4"/>
  <c r="F188" i="4"/>
  <c r="F187" i="4"/>
  <c r="F186" i="4"/>
  <c r="F181" i="4"/>
  <c r="F180" i="4"/>
  <c r="F179" i="4"/>
  <c r="F178" i="4"/>
  <c r="F177" i="4"/>
  <c r="F176" i="4"/>
  <c r="F171" i="4"/>
  <c r="F170" i="4"/>
  <c r="F169" i="4"/>
  <c r="F168" i="4"/>
  <c r="F167" i="4"/>
  <c r="F166" i="4"/>
  <c r="F161" i="4"/>
  <c r="F160" i="4"/>
  <c r="F159" i="4"/>
  <c r="F158" i="4"/>
  <c r="F157" i="4"/>
  <c r="F156" i="4"/>
  <c r="F151" i="4"/>
  <c r="F150" i="4"/>
  <c r="F149" i="4"/>
  <c r="F148" i="4"/>
  <c r="F147" i="4"/>
  <c r="F146" i="4"/>
  <c r="F141" i="4"/>
  <c r="F140" i="4"/>
  <c r="F139" i="4"/>
  <c r="F138" i="4"/>
  <c r="F137" i="4"/>
  <c r="F136" i="4"/>
  <c r="H135" i="4" s="1"/>
  <c r="F130" i="4"/>
  <c r="F129" i="4"/>
  <c r="F128" i="4"/>
  <c r="F127" i="4"/>
  <c r="F126" i="4"/>
  <c r="F125" i="4"/>
  <c r="H125" i="4" s="1"/>
  <c r="F120" i="4"/>
  <c r="F119" i="4"/>
  <c r="F118" i="4"/>
  <c r="F117" i="4"/>
  <c r="F116" i="4"/>
  <c r="F115" i="4"/>
  <c r="F110" i="4"/>
  <c r="F109" i="4"/>
  <c r="F108" i="4"/>
  <c r="F107" i="4"/>
  <c r="F106" i="4"/>
  <c r="H105" i="4"/>
  <c r="F105" i="4"/>
  <c r="F100" i="4"/>
  <c r="F99" i="4"/>
  <c r="F98" i="4"/>
  <c r="F97" i="4"/>
  <c r="F96" i="4"/>
  <c r="F95" i="4"/>
  <c r="F90" i="4"/>
  <c r="F89" i="4"/>
  <c r="F88" i="4"/>
  <c r="F87" i="4"/>
  <c r="F86" i="4"/>
  <c r="F85" i="4"/>
  <c r="F80" i="4"/>
  <c r="F79" i="4"/>
  <c r="F78" i="4"/>
  <c r="F77" i="4"/>
  <c r="F76" i="4"/>
  <c r="F75" i="4"/>
  <c r="F70" i="4"/>
  <c r="F69" i="4"/>
  <c r="F68" i="4"/>
  <c r="F67" i="4"/>
  <c r="F66" i="4"/>
  <c r="F65" i="4"/>
  <c r="F60" i="4"/>
  <c r="F59" i="4"/>
  <c r="F58" i="4"/>
  <c r="F57" i="4"/>
  <c r="F56" i="4"/>
  <c r="F55" i="4"/>
  <c r="F50" i="4"/>
  <c r="F49" i="4"/>
  <c r="F48" i="4"/>
  <c r="F47" i="4"/>
  <c r="F46" i="4"/>
  <c r="H45" i="4" s="1"/>
  <c r="F45" i="4"/>
  <c r="F35" i="4"/>
  <c r="F36" i="4"/>
  <c r="F37" i="4"/>
  <c r="F38" i="4"/>
  <c r="F39" i="4"/>
  <c r="F34" i="4"/>
  <c r="K6" i="4"/>
  <c r="K7" i="4"/>
  <c r="K8" i="4"/>
  <c r="K9" i="4"/>
  <c r="K5" i="4"/>
  <c r="L6" i="4"/>
  <c r="L7" i="4"/>
  <c r="L8" i="4"/>
  <c r="L9" i="4"/>
  <c r="L5" i="4"/>
  <c r="H30" i="1"/>
  <c r="K25" i="1"/>
  <c r="J25" i="1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4" i="2"/>
  <c r="S5" i="2"/>
  <c r="S6" i="2"/>
  <c r="S9" i="2"/>
  <c r="S10" i="2"/>
  <c r="S11" i="2"/>
  <c r="S12" i="2"/>
  <c r="S13" i="2"/>
  <c r="S14" i="2"/>
  <c r="S15" i="2"/>
  <c r="S16" i="2"/>
  <c r="S17" i="2"/>
  <c r="S19" i="2"/>
  <c r="S20" i="2"/>
  <c r="S22" i="2"/>
  <c r="S23" i="2"/>
  <c r="S24" i="2"/>
  <c r="S25" i="2"/>
  <c r="S29" i="2"/>
  <c r="S30" i="2"/>
  <c r="S31" i="2"/>
  <c r="S33" i="2"/>
  <c r="S34" i="2"/>
  <c r="S35" i="2"/>
  <c r="S36" i="2"/>
  <c r="S39" i="2"/>
  <c r="S46" i="2"/>
  <c r="S47" i="2"/>
  <c r="S48" i="2"/>
  <c r="S49" i="2"/>
  <c r="S50" i="2"/>
  <c r="S51" i="2"/>
  <c r="S52" i="2"/>
  <c r="S53" i="2"/>
  <c r="S54" i="2"/>
  <c r="S55" i="2"/>
  <c r="S56" i="2"/>
  <c r="S57" i="2"/>
  <c r="S4" i="2"/>
  <c r="AB194" i="4" l="1"/>
  <c r="AC194" i="4" s="1"/>
  <c r="X194" i="4" s="1"/>
  <c r="AB196" i="4"/>
  <c r="AC196" i="4" s="1"/>
  <c r="X196" i="4" s="1"/>
  <c r="AB195" i="4"/>
  <c r="AC195" i="4" s="1"/>
  <c r="X195" i="4" s="1"/>
  <c r="AB193" i="4"/>
  <c r="AC193" i="4" s="1"/>
  <c r="AB215" i="4"/>
  <c r="AB216" i="4"/>
  <c r="AB214" i="4"/>
  <c r="AB217" i="4"/>
  <c r="Z163" i="4"/>
  <c r="L59" i="1"/>
  <c r="I59" i="1"/>
  <c r="M5" i="4"/>
  <c r="H34" i="4"/>
  <c r="H55" i="4"/>
  <c r="H335" i="4"/>
  <c r="H295" i="4"/>
  <c r="H75" i="4"/>
  <c r="H95" i="4"/>
  <c r="H235" i="4"/>
  <c r="H255" i="4"/>
  <c r="H285" i="4"/>
  <c r="H305" i="4"/>
  <c r="H325" i="4"/>
  <c r="M25" i="1"/>
  <c r="L25" i="1"/>
  <c r="H275" i="4"/>
  <c r="H265" i="4"/>
  <c r="H245" i="4"/>
  <c r="H225" i="4"/>
  <c r="H215" i="4"/>
  <c r="H205" i="4"/>
  <c r="H195" i="4"/>
  <c r="H185" i="4"/>
  <c r="H175" i="4"/>
  <c r="H165" i="4"/>
  <c r="H155" i="4"/>
  <c r="H145" i="4"/>
  <c r="H115" i="4"/>
  <c r="H85" i="4"/>
  <c r="H65" i="4"/>
  <c r="G30" i="1"/>
  <c r="B161" i="2"/>
  <c r="G25" i="1" s="1"/>
  <c r="B158" i="2"/>
  <c r="F25" i="1" s="1"/>
  <c r="B154" i="2"/>
  <c r="E25" i="1" s="1"/>
  <c r="B151" i="2"/>
  <c r="D25" i="1" s="1"/>
  <c r="B145" i="2"/>
  <c r="C25" i="1" s="1"/>
  <c r="B142" i="2"/>
  <c r="B25" i="1" s="1"/>
  <c r="AC199" i="4" l="1"/>
  <c r="X193" i="4"/>
  <c r="Z193" i="4" s="1"/>
  <c r="AC217" i="4"/>
  <c r="X217" i="4"/>
  <c r="AC216" i="4"/>
  <c r="X216" i="4"/>
  <c r="AC214" i="4"/>
  <c r="X214" i="4"/>
  <c r="AC215" i="4"/>
  <c r="X215" i="4"/>
  <c r="AC219" i="4"/>
  <c r="N35" i="1"/>
  <c r="J47" i="1"/>
  <c r="L47" i="1"/>
  <c r="K47" i="1"/>
  <c r="I47" i="1"/>
  <c r="M47" i="1"/>
  <c r="K30" i="1"/>
  <c r="J30" i="1"/>
  <c r="C24" i="4"/>
  <c r="D22" i="4"/>
  <c r="E22" i="4"/>
  <c r="F22" i="4"/>
  <c r="G22" i="4"/>
  <c r="H22" i="4"/>
  <c r="I22" i="4"/>
  <c r="J22" i="4"/>
  <c r="K22" i="4"/>
  <c r="L22" i="4"/>
  <c r="C22" i="4"/>
  <c r="D21" i="4"/>
  <c r="E21" i="4"/>
  <c r="F21" i="4"/>
  <c r="G21" i="4"/>
  <c r="H21" i="4"/>
  <c r="I21" i="4"/>
  <c r="J21" i="4"/>
  <c r="K21" i="4"/>
  <c r="L21" i="4"/>
  <c r="C21" i="4"/>
  <c r="D20" i="4"/>
  <c r="E20" i="4"/>
  <c r="F20" i="4"/>
  <c r="G20" i="4"/>
  <c r="H20" i="4"/>
  <c r="I20" i="4"/>
  <c r="J20" i="4"/>
  <c r="K20" i="4"/>
  <c r="L20" i="4"/>
  <c r="C20" i="4"/>
  <c r="D19" i="4"/>
  <c r="E19" i="4"/>
  <c r="F19" i="4"/>
  <c r="G19" i="4"/>
  <c r="H19" i="4"/>
  <c r="I19" i="4"/>
  <c r="J19" i="4"/>
  <c r="K19" i="4"/>
  <c r="L19" i="4"/>
  <c r="C19" i="4"/>
  <c r="D18" i="4"/>
  <c r="E18" i="4"/>
  <c r="F18" i="4"/>
  <c r="G18" i="4"/>
  <c r="H18" i="4"/>
  <c r="I18" i="4"/>
  <c r="J18" i="4"/>
  <c r="K18" i="4"/>
  <c r="L18" i="4"/>
  <c r="C18" i="4"/>
  <c r="J21" i="1"/>
  <c r="I21" i="1"/>
  <c r="X218" i="4" l="1"/>
  <c r="Z214" i="4"/>
  <c r="K21" i="1"/>
  <c r="M30" i="1"/>
  <c r="G28" i="4"/>
  <c r="G21" i="1" s="1"/>
  <c r="M39" i="1" s="1"/>
  <c r="E28" i="4"/>
  <c r="E21" i="1" s="1"/>
  <c r="K39" i="1" s="1"/>
  <c r="C28" i="4"/>
  <c r="C21" i="1" s="1"/>
  <c r="I39" i="1" s="1"/>
  <c r="I71" i="1" s="1"/>
  <c r="C72" i="1" s="1"/>
  <c r="F28" i="4"/>
  <c r="F21" i="1" s="1"/>
  <c r="L39" i="1" s="1"/>
  <c r="Z199" i="4" s="1"/>
  <c r="D28" i="4"/>
  <c r="D21" i="1" s="1"/>
  <c r="J39" i="1" s="1"/>
  <c r="F9" i="7"/>
  <c r="F18" i="7"/>
  <c r="I13" i="7"/>
  <c r="F13" i="7"/>
  <c r="E3" i="7"/>
  <c r="C51" i="3"/>
  <c r="C48" i="1" s="1"/>
  <c r="C52" i="3"/>
  <c r="D45" i="3"/>
  <c r="D46" i="3"/>
  <c r="D43" i="1" s="1"/>
  <c r="D47" i="3"/>
  <c r="D48" i="3"/>
  <c r="D45" i="1" s="1"/>
  <c r="D49" i="3"/>
  <c r="D50" i="3"/>
  <c r="D47" i="1" s="1"/>
  <c r="C50" i="3"/>
  <c r="C49" i="3"/>
  <c r="C48" i="3"/>
  <c r="C47" i="3"/>
  <c r="C46" i="3"/>
  <c r="C45" i="3"/>
  <c r="B40" i="3"/>
  <c r="O59" i="2"/>
  <c r="O58" i="2"/>
  <c r="O37" i="2"/>
  <c r="O38" i="2"/>
  <c r="O39" i="2"/>
  <c r="O40" i="2"/>
  <c r="O41" i="2"/>
  <c r="O42" i="2"/>
  <c r="O43" i="2"/>
  <c r="O44" i="2"/>
  <c r="O45" i="2"/>
  <c r="O17" i="2"/>
  <c r="O18" i="2"/>
  <c r="O21" i="2"/>
  <c r="O24" i="2"/>
  <c r="O25" i="2"/>
  <c r="O26" i="2"/>
  <c r="O27" i="2"/>
  <c r="O28" i="2"/>
  <c r="O30" i="2"/>
  <c r="O32" i="2"/>
  <c r="O33" i="2"/>
  <c r="O34" i="2"/>
  <c r="O16" i="2"/>
  <c r="O8" i="2"/>
  <c r="O7" i="2"/>
  <c r="Z200" i="4" l="1"/>
  <c r="Z201" i="4" s="1"/>
  <c r="L83" i="1" s="1"/>
  <c r="G75" i="1" s="1"/>
  <c r="E76" i="1"/>
  <c r="Z220" i="4"/>
  <c r="L51" i="1"/>
  <c r="L63" i="1" s="1"/>
  <c r="E75" i="1"/>
  <c r="K75" i="1"/>
  <c r="D74" i="1" s="1"/>
  <c r="E74" i="1"/>
  <c r="J75" i="1"/>
  <c r="D73" i="1" s="1"/>
  <c r="E73" i="1"/>
  <c r="I75" i="1"/>
  <c r="D72" i="1" s="1"/>
  <c r="E72" i="1"/>
  <c r="M55" i="1"/>
  <c r="M67" i="1" s="1"/>
  <c r="M75" i="1"/>
  <c r="D76" i="1" s="1"/>
  <c r="J55" i="1"/>
  <c r="J67" i="1" s="1"/>
  <c r="J71" i="1"/>
  <c r="C73" i="1" s="1"/>
  <c r="I55" i="1"/>
  <c r="I67" i="1" s="1"/>
  <c r="K51" i="1"/>
  <c r="K63" i="1" s="1"/>
  <c r="K71" i="1"/>
  <c r="C74" i="1" s="1"/>
  <c r="I51" i="1"/>
  <c r="I63" i="1" s="1"/>
  <c r="L55" i="1"/>
  <c r="L67" i="1" s="1"/>
  <c r="K55" i="1"/>
  <c r="K67" i="1" s="1"/>
  <c r="M51" i="1"/>
  <c r="J51" i="1"/>
  <c r="J63" i="1" s="1"/>
  <c r="C49" i="1"/>
  <c r="C43" i="1"/>
  <c r="C45" i="1"/>
  <c r="C47" i="1"/>
  <c r="L30" i="1"/>
  <c r="N30" i="1" s="1"/>
  <c r="B64" i="1" s="1"/>
  <c r="O30" i="1"/>
  <c r="C64" i="1" s="1"/>
  <c r="D46" i="1"/>
  <c r="D44" i="1"/>
  <c r="D42" i="1"/>
  <c r="C42" i="1"/>
  <c r="C44" i="1"/>
  <c r="C46" i="1"/>
  <c r="X221" i="4" l="1"/>
  <c r="Z221" i="4"/>
  <c r="Z222" i="4" s="1"/>
  <c r="L79" i="1" s="1"/>
  <c r="F75" i="1" s="1"/>
  <c r="E68" i="1"/>
  <c r="C68" i="1"/>
  <c r="D68" i="1"/>
  <c r="B68" i="1"/>
  <c r="M63" i="1"/>
  <c r="F68" i="1" s="1"/>
  <c r="V220" i="4"/>
</calcChain>
</file>

<file path=xl/comments1.xml><?xml version="1.0" encoding="utf-8"?>
<comments xmlns="http://schemas.openxmlformats.org/spreadsheetml/2006/main">
  <authors>
    <author>Dqu</author>
  </authors>
  <commentList>
    <comment ref="J16" authorId="0" shapeId="0">
      <text>
        <r>
          <rPr>
            <b/>
            <sz val="9"/>
            <color indexed="81"/>
            <rFont val="Tahoma"/>
            <family val="2"/>
          </rPr>
          <t>Dqu:</t>
        </r>
        <r>
          <rPr>
            <sz val="9"/>
            <color indexed="81"/>
            <rFont val="Tahoma"/>
            <family val="2"/>
          </rPr>
          <t xml:space="preserve">
If you pick finesse, remember you need to manually add +30DR</t>
        </r>
      </text>
    </comment>
    <comment ref="N19" authorId="0" shapeId="0">
      <text>
        <r>
          <rPr>
            <b/>
            <sz val="9"/>
            <color indexed="81"/>
            <rFont val="Tahoma"/>
            <charset val="1"/>
          </rPr>
          <t>Dqu:</t>
        </r>
        <r>
          <rPr>
            <sz val="9"/>
            <color indexed="81"/>
            <rFont val="Tahoma"/>
            <charset val="1"/>
          </rPr>
          <t xml:space="preserve">
target weapon st require</t>
        </r>
      </text>
    </comment>
  </commentList>
</comments>
</file>

<file path=xl/sharedStrings.xml><?xml version="1.0" encoding="utf-8"?>
<sst xmlns="http://schemas.openxmlformats.org/spreadsheetml/2006/main" count="2068" uniqueCount="501">
  <si>
    <t>Zip Gun</t>
  </si>
  <si>
    <t>Pipe Rifle</t>
  </si>
  <si>
    <t>10mm Pistol</t>
  </si>
  <si>
    <t>Shotgun</t>
  </si>
  <si>
    <t>Sawed-Off Shotgun</t>
  </si>
  <si>
    <t>Red Ryder BB Gun</t>
  </si>
  <si>
    <t>Red Ryder LE BB Gun</t>
  </si>
  <si>
    <t>WEAPON</t>
  </si>
  <si>
    <t>MIN DMG</t>
  </si>
  <si>
    <t>MAX DMG</t>
  </si>
  <si>
    <t>.44 Magnum Revolver</t>
  </si>
  <si>
    <t>.44 Magnum (Speed Load)</t>
  </si>
  <si>
    <t>Desert Eagle .44</t>
  </si>
  <si>
    <t>Desert Eagle (Exp. Mag.)</t>
  </si>
  <si>
    <t>9mm Mauser</t>
  </si>
  <si>
    <t>M3A1 "Grease Gun" SMG</t>
  </si>
  <si>
    <t>Tommy Gun</t>
  </si>
  <si>
    <t>Combat Shotgun</t>
  </si>
  <si>
    <t>Hunting Rifle</t>
  </si>
  <si>
    <t>Scoped Hunting Rifle</t>
  </si>
  <si>
    <t>10mm SMG</t>
  </si>
  <si>
    <t>14mm Pistol</t>
  </si>
  <si>
    <t>Assault Rifle</t>
  </si>
  <si>
    <t>Assault Rifle (Exp. Mag.)</t>
  </si>
  <si>
    <t>FN FAL</t>
  </si>
  <si>
    <t>H&amp;K CAWS</t>
  </si>
  <si>
    <t>HK P90c</t>
  </si>
  <si>
    <t>.223 Pistol</t>
  </si>
  <si>
    <t>XL70E3</t>
  </si>
  <si>
    <t>Sniper Rifle</t>
  </si>
  <si>
    <t>Pancor Jackhammer</t>
  </si>
  <si>
    <t>H&amp;K G11</t>
  </si>
  <si>
    <t>H&amp;K G11E</t>
  </si>
  <si>
    <t>PPK12 Gauss Pistol</t>
  </si>
  <si>
    <t>M72 Gauss Rifle</t>
  </si>
  <si>
    <t>Needler Pistol</t>
  </si>
  <si>
    <t>SINGLE SHOTS</t>
  </si>
  <si>
    <t xml:space="preserve">BURST </t>
  </si>
  <si>
    <t xml:space="preserve">CLIP SIZE </t>
  </si>
  <si>
    <t>BURST/CLIP</t>
  </si>
  <si>
    <t>AP</t>
  </si>
  <si>
    <t>AMMO/BURST</t>
  </si>
  <si>
    <t>BURST RANGE</t>
  </si>
  <si>
    <t>SINGLE RANGE</t>
  </si>
  <si>
    <t>CRIT ROLL</t>
  </si>
  <si>
    <t>BIG GUNS</t>
  </si>
  <si>
    <t>SMALL GUNS</t>
  </si>
  <si>
    <t>Weapon</t>
  </si>
  <si>
    <t>Ammo</t>
  </si>
  <si>
    <t>Implant</t>
  </si>
  <si>
    <t>DR</t>
  </si>
  <si>
    <t>AntiCrit</t>
  </si>
  <si>
    <t>Luck</t>
  </si>
  <si>
    <t>Flamer</t>
  </si>
  <si>
    <t>M60</t>
  </si>
  <si>
    <t>Minigun</t>
  </si>
  <si>
    <t>Improved Flamer</t>
  </si>
  <si>
    <t>Rocket Launcher</t>
  </si>
  <si>
    <t>Light Support Weapon</t>
  </si>
  <si>
    <t>Avenger Minigun</t>
  </si>
  <si>
    <t>Bozar</t>
  </si>
  <si>
    <t>Vindicator</t>
  </si>
  <si>
    <t>ENERGY WEAPONS</t>
  </si>
  <si>
    <t>Laser Pistol</t>
  </si>
  <si>
    <t>Solar Scorcher</t>
  </si>
  <si>
    <t>Magneto-Laser Pistol</t>
  </si>
  <si>
    <t>Plasma Pistol</t>
  </si>
  <si>
    <t>Plasma Pistol (Ext. Cap.)</t>
  </si>
  <si>
    <t>Laser Rifle</t>
  </si>
  <si>
    <t>Laser Rifle (Ext. Cap.)</t>
  </si>
  <si>
    <t>Plasma Rifle</t>
  </si>
  <si>
    <t>YK32 Pulse Pistol</t>
  </si>
  <si>
    <t>Alien Blaster</t>
  </si>
  <si>
    <t>Turbo Plasma Rifle</t>
  </si>
  <si>
    <t>Gatling Laser</t>
  </si>
  <si>
    <t>Plasma Gatling</t>
  </si>
  <si>
    <t>YK42B Pulse Rifle</t>
  </si>
  <si>
    <t>CLOSECOMBAT</t>
  </si>
  <si>
    <t>Boxing Gloves</t>
  </si>
  <si>
    <t>Brass Knuckles</t>
  </si>
  <si>
    <t>Club</t>
  </si>
  <si>
    <t>Crowbar</t>
  </si>
  <si>
    <t>Hatchet</t>
  </si>
  <si>
    <t>Knife</t>
  </si>
  <si>
    <t>Pickaxe</t>
  </si>
  <si>
    <t>Plant Spike</t>
  </si>
  <si>
    <t>Plated Boxing Gloves</t>
  </si>
  <si>
    <t>Primitive Tool</t>
  </si>
  <si>
    <t>Sharpened Pole</t>
  </si>
  <si>
    <t>Shiv</t>
  </si>
  <si>
    <t>Shovel</t>
  </si>
  <si>
    <t>Sledgehammer</t>
  </si>
  <si>
    <t>Spear</t>
  </si>
  <si>
    <t>Wrench</t>
  </si>
  <si>
    <t>Combat Knife</t>
  </si>
  <si>
    <t>Sharpened Spear</t>
  </si>
  <si>
    <t>Spicked Knuckles</t>
  </si>
  <si>
    <t>Throwing Knife</t>
  </si>
  <si>
    <t>Cattle Prob</t>
  </si>
  <si>
    <t>Power Fist</t>
  </si>
  <si>
    <t>Ripper</t>
  </si>
  <si>
    <t>Mega Power Fist</t>
  </si>
  <si>
    <t>Super Cattle Prob</t>
  </si>
  <si>
    <t>Super Sledge</t>
  </si>
  <si>
    <t>Little Jesus</t>
  </si>
  <si>
    <t>Eli´s Knife</t>
  </si>
  <si>
    <t>Louisville Slugger</t>
  </si>
  <si>
    <t>Wakizashi Blade</t>
  </si>
  <si>
    <t>Switchblade</t>
  </si>
  <si>
    <t>Rock</t>
  </si>
  <si>
    <t>Refined Uranium Ore</t>
  </si>
  <si>
    <t>THROWING</t>
  </si>
  <si>
    <t>Molotov Coctail</t>
  </si>
  <si>
    <t>Grenade (Frag)</t>
  </si>
  <si>
    <t>Grenade (Plasma)</t>
  </si>
  <si>
    <t>Grenade (Pulse)</t>
  </si>
  <si>
    <t>Signal Flare</t>
  </si>
  <si>
    <t>AMMOS</t>
  </si>
  <si>
    <t>Small Energy Cells</t>
  </si>
  <si>
    <t>.223 FMJ</t>
  </si>
  <si>
    <t>12 ga. Shotgun Shells</t>
  </si>
  <si>
    <t>10mm JHP</t>
  </si>
  <si>
    <t>10mm AP</t>
  </si>
  <si>
    <t>5mm JHP</t>
  </si>
  <si>
    <t>5mm AP</t>
  </si>
  <si>
    <t>.44 Magnum JHP</t>
  </si>
  <si>
    <t>.44 Magnum FMJ</t>
  </si>
  <si>
    <t>7.62mm</t>
  </si>
  <si>
    <t>.45 Caliber</t>
  </si>
  <si>
    <t>Flamethrower Fuel</t>
  </si>
  <si>
    <t>Flamethrower Fuel MKII</t>
  </si>
  <si>
    <t>9mm Ball</t>
  </si>
  <si>
    <t>HN Needler Cartridge</t>
  </si>
  <si>
    <t>14mm AP</t>
  </si>
  <si>
    <t>Explosive Rocket</t>
  </si>
  <si>
    <t>Rocket AP</t>
  </si>
  <si>
    <t>Micro Fusion Cell</t>
  </si>
  <si>
    <t>4.7mm Caseless</t>
  </si>
  <si>
    <t>2mm EC</t>
  </si>
  <si>
    <t>BB´s</t>
  </si>
  <si>
    <t>9mm</t>
  </si>
  <si>
    <t>HN AP Needler Cartridge</t>
  </si>
  <si>
    <t>.50 Caliber</t>
  </si>
  <si>
    <t>AMMO NAME</t>
  </si>
  <si>
    <t>DM MOD</t>
  </si>
  <si>
    <t>AC MOD</t>
  </si>
  <si>
    <t>DR MOD %</t>
  </si>
  <si>
    <t>TARGET RESIST CHECK</t>
  </si>
  <si>
    <t>ARMORS</t>
  </si>
  <si>
    <t>Leather Jacket</t>
  </si>
  <si>
    <t>Combat Leather Jacket</t>
  </si>
  <si>
    <t>Leather Armor</t>
  </si>
  <si>
    <t>Leather Armor MK2</t>
  </si>
  <si>
    <t>Metal Armor</t>
  </si>
  <si>
    <t>Metal Armor MK2</t>
  </si>
  <si>
    <t>Tesla Armor</t>
  </si>
  <si>
    <t>Combat Armor</t>
  </si>
  <si>
    <t>Combat Armor MK2</t>
  </si>
  <si>
    <t>Hubologist´s Robe</t>
  </si>
  <si>
    <t>Sand Robe</t>
  </si>
  <si>
    <t>Blue Robe</t>
  </si>
  <si>
    <t>Robes</t>
  </si>
  <si>
    <t>Red Robe</t>
  </si>
  <si>
    <t>Vault Dweller´s Jumpsuit</t>
  </si>
  <si>
    <t>Brotherhood Armor</t>
  </si>
  <si>
    <t>Desert Combat Armor</t>
  </si>
  <si>
    <t>Enclave Armor</t>
  </si>
  <si>
    <t>Navy Armor</t>
  </si>
  <si>
    <t>NCR Combat Armor</t>
  </si>
  <si>
    <t>NCR Combat Armor MK2</t>
  </si>
  <si>
    <t>Ranger Armor</t>
  </si>
  <si>
    <t>Barett´s Power Armor</t>
  </si>
  <si>
    <t>Power Armor</t>
  </si>
  <si>
    <t>Hardened Power Armor</t>
  </si>
  <si>
    <t>Advanced Power Armor</t>
  </si>
  <si>
    <t>Advanced Power Armor MK2</t>
  </si>
  <si>
    <t>Combat Robe</t>
  </si>
  <si>
    <t>Green Robe</t>
  </si>
  <si>
    <t>Robot Armor</t>
  </si>
  <si>
    <t>ARMOR NAME</t>
  </si>
  <si>
    <t>AC BONUS</t>
  </si>
  <si>
    <t>ANTICRIT</t>
  </si>
  <si>
    <t>DT</t>
  </si>
  <si>
    <t>NORMAL</t>
  </si>
  <si>
    <t>LASER</t>
  </si>
  <si>
    <t>FIRE</t>
  </si>
  <si>
    <t>PLASMA</t>
  </si>
  <si>
    <t>EXPLODE</t>
  </si>
  <si>
    <t>ELECTRICAL</t>
  </si>
  <si>
    <t>ARMOR</t>
  </si>
  <si>
    <t>TOUGHNESS</t>
  </si>
  <si>
    <t>Normal</t>
  </si>
  <si>
    <t>Laser</t>
  </si>
  <si>
    <t>Fire</t>
  </si>
  <si>
    <t>Plasma</t>
  </si>
  <si>
    <t>Explode</t>
  </si>
  <si>
    <t>Electric</t>
  </si>
  <si>
    <t>IMPLANT</t>
  </si>
  <si>
    <t>Defence</t>
  </si>
  <si>
    <t>AC</t>
  </si>
  <si>
    <t>YES</t>
  </si>
  <si>
    <t>NO</t>
  </si>
  <si>
    <t>Anticritical</t>
  </si>
  <si>
    <t>No Armor</t>
  </si>
  <si>
    <t>Anticrit</t>
  </si>
  <si>
    <t>Toughness CALCULATION</t>
  </si>
  <si>
    <t>No Implant</t>
  </si>
  <si>
    <t>Implant Calculation</t>
  </si>
  <si>
    <t>PSYCHO</t>
  </si>
  <si>
    <t>Yes</t>
  </si>
  <si>
    <t>No</t>
  </si>
  <si>
    <t>Psycho Calculation</t>
  </si>
  <si>
    <t>AntiCrit Calculation</t>
  </si>
  <si>
    <t>Marksman</t>
  </si>
  <si>
    <t>Medical</t>
  </si>
  <si>
    <t>roll</t>
  </si>
  <si>
    <t>Crit</t>
  </si>
  <si>
    <t>Dmg</t>
  </si>
  <si>
    <t>LUCK</t>
  </si>
  <si>
    <t>Glow Quest</t>
  </si>
  <si>
    <t>GLOW QUEST</t>
  </si>
  <si>
    <t>More Critical</t>
  </si>
  <si>
    <t>Better Critical</t>
  </si>
  <si>
    <t>More Critical Perks</t>
  </si>
  <si>
    <t>Torso</t>
  </si>
  <si>
    <t>Eyes</t>
  </si>
  <si>
    <t>Head</t>
  </si>
  <si>
    <t>Groin</t>
  </si>
  <si>
    <t>Arms</t>
  </si>
  <si>
    <t>ARMOR UPGRADES</t>
  </si>
  <si>
    <t>Finesse</t>
  </si>
  <si>
    <t>OneHander</t>
  </si>
  <si>
    <t>FastShot</t>
  </si>
  <si>
    <t>Bruiser</t>
  </si>
  <si>
    <t>Kamikaze</t>
  </si>
  <si>
    <t>BRD</t>
  </si>
  <si>
    <t>Living anatomy</t>
  </si>
  <si>
    <t>Pyromaniac</t>
  </si>
  <si>
    <t>Treshold</t>
  </si>
  <si>
    <t>Resist</t>
  </si>
  <si>
    <t>MUTANT</t>
  </si>
  <si>
    <t>DR+</t>
  </si>
  <si>
    <t>dmg</t>
  </si>
  <si>
    <t>dmg meelee</t>
  </si>
  <si>
    <t>cc</t>
  </si>
  <si>
    <t>dmg +</t>
  </si>
  <si>
    <t>dr-</t>
  </si>
  <si>
    <t>Living Anatomy</t>
  </si>
  <si>
    <t>Fire Dmg</t>
  </si>
  <si>
    <t>vs npc</t>
  </si>
  <si>
    <t>Weaponary</t>
  </si>
  <si>
    <t>Min Dmg</t>
  </si>
  <si>
    <t>Max Dmg</t>
  </si>
  <si>
    <t>CritChance</t>
  </si>
  <si>
    <t>CritRoll</t>
  </si>
  <si>
    <t>Weapon Upgrades</t>
  </si>
  <si>
    <t>Stats&amp;Traits&amp;Perks&amp;Implant</t>
  </si>
  <si>
    <t>Raw CritChances</t>
  </si>
  <si>
    <t>MinDmg</t>
  </si>
  <si>
    <t>MaxDmg</t>
  </si>
  <si>
    <t>critroll</t>
  </si>
  <si>
    <t>Critchance</t>
  </si>
  <si>
    <t>OneHand</t>
  </si>
  <si>
    <t>TwoHand</t>
  </si>
  <si>
    <t>EYES</t>
  </si>
  <si>
    <t>HEAD</t>
  </si>
  <si>
    <t>TORSO</t>
  </si>
  <si>
    <t>GROIN</t>
  </si>
  <si>
    <t>ARMS</t>
  </si>
  <si>
    <t>LEGS</t>
  </si>
  <si>
    <t>0 - 10</t>
  </si>
  <si>
    <t>11 - 25</t>
  </si>
  <si>
    <t>26 - 55</t>
  </si>
  <si>
    <t>56 - 85</t>
  </si>
  <si>
    <t>86 - 100</t>
  </si>
  <si>
    <t>101 - 110</t>
  </si>
  <si>
    <t>111 - 120</t>
  </si>
  <si>
    <t>CRITICAL ROLL TABLE</t>
  </si>
  <si>
    <t>CRITICAL CHANCE TABLE</t>
  </si>
  <si>
    <t>Legs</t>
  </si>
  <si>
    <t>Raw CritChances calculations</t>
  </si>
  <si>
    <t>TOTAL FLAT DMG</t>
  </si>
  <si>
    <t>Guns Upgrades</t>
  </si>
  <si>
    <t>Meelee Upgrades</t>
  </si>
  <si>
    <t>Penetrate</t>
  </si>
  <si>
    <t>WEAPON&amp;AMMO PERKS</t>
  </si>
  <si>
    <t>Armor Piercing</t>
  </si>
  <si>
    <t>yes</t>
  </si>
  <si>
    <t>no</t>
  </si>
  <si>
    <t>Critical Roll</t>
  </si>
  <si>
    <t>Min DMG Calculation</t>
  </si>
  <si>
    <t>BURSTING DMG</t>
  </si>
  <si>
    <t>Min DMG</t>
  </si>
  <si>
    <t>TOTAL ROLL</t>
  </si>
  <si>
    <t>Max DMG Calculation</t>
  </si>
  <si>
    <t>Max Dmg Calculation</t>
  </si>
  <si>
    <t>Burst/Nades</t>
  </si>
  <si>
    <t>Weapon Single</t>
  </si>
  <si>
    <t>Meelee Single</t>
  </si>
  <si>
    <t>Weapon SINGLE DMG</t>
  </si>
  <si>
    <t>Meelee Single DMG</t>
  </si>
  <si>
    <t>AMMO</t>
  </si>
  <si>
    <t>DR MOD</t>
  </si>
  <si>
    <t>Slug Shells</t>
  </si>
  <si>
    <t>Ammo hit on burst</t>
  </si>
  <si>
    <t>Range</t>
  </si>
  <si>
    <t>Hex</t>
  </si>
  <si>
    <t>AMMO HIT ON BURST</t>
  </si>
  <si>
    <t>RANGE</t>
  </si>
  <si>
    <t>HEX</t>
  </si>
  <si>
    <t>AMMO HIT CALC</t>
  </si>
  <si>
    <t>Real DT</t>
  </si>
  <si>
    <t>Real DR</t>
  </si>
  <si>
    <t>Chance %</t>
  </si>
  <si>
    <t>DMG</t>
  </si>
  <si>
    <t>NO CR BONUS</t>
  </si>
  <si>
    <t>DMG mult</t>
  </si>
  <si>
    <t>CR 1</t>
  </si>
  <si>
    <t>CR 2</t>
  </si>
  <si>
    <t>CR 20</t>
  </si>
  <si>
    <t>CR 3</t>
  </si>
  <si>
    <t>CR 4</t>
  </si>
  <si>
    <t>CR 5</t>
  </si>
  <si>
    <t>CR 6</t>
  </si>
  <si>
    <t>CR 7</t>
  </si>
  <si>
    <t>CR 8</t>
  </si>
  <si>
    <t>CR 9</t>
  </si>
  <si>
    <t>CR 10</t>
  </si>
  <si>
    <t>CR 11</t>
  </si>
  <si>
    <t>CR 12</t>
  </si>
  <si>
    <t>CR 13</t>
  </si>
  <si>
    <t>CR 14</t>
  </si>
  <si>
    <t>CR 15</t>
  </si>
  <si>
    <t>CR 16</t>
  </si>
  <si>
    <t>CR 17</t>
  </si>
  <si>
    <t>CR 18</t>
  </si>
  <si>
    <t>CR 19</t>
  </si>
  <si>
    <t>CR 21</t>
  </si>
  <si>
    <t>CR 22</t>
  </si>
  <si>
    <t>CR 23</t>
  </si>
  <si>
    <t>CR 24</t>
  </si>
  <si>
    <t>CR 25</t>
  </si>
  <si>
    <t>CR 26</t>
  </si>
  <si>
    <t>CR 27</t>
  </si>
  <si>
    <t>CR 28</t>
  </si>
  <si>
    <t>CR 29</t>
  </si>
  <si>
    <t>CR 30</t>
  </si>
  <si>
    <t>CR 31</t>
  </si>
  <si>
    <t>BURST DMG MODIFIER</t>
  </si>
  <si>
    <t>ROLL</t>
  </si>
  <si>
    <t>Ammo Crits</t>
  </si>
  <si>
    <t>CR DMG Multipl.</t>
  </si>
  <si>
    <t>Raw Dmg Avg</t>
  </si>
  <si>
    <t>Raw Crit Dmg Avg</t>
  </si>
  <si>
    <t>Total Raw Dmg</t>
  </si>
  <si>
    <t>Crit Roll affect</t>
  </si>
  <si>
    <t>Resist After Reductions</t>
  </si>
  <si>
    <t>Real Flat DMG</t>
  </si>
  <si>
    <t>Fire Flat DMG</t>
  </si>
  <si>
    <t>Damage Resist(DR)</t>
  </si>
  <si>
    <t>Damage Treshold (DT)</t>
  </si>
  <si>
    <t>Instructions</t>
  </si>
  <si>
    <t>BURST RAW DMG CALCULATIONS</t>
  </si>
  <si>
    <t>CREATED BY DEQU</t>
  </si>
  <si>
    <t>BURST DMG to TARGET</t>
  </si>
  <si>
    <t>Bonehead</t>
  </si>
  <si>
    <t>Strenght</t>
  </si>
  <si>
    <t>Endurance</t>
  </si>
  <si>
    <t>TARGET STATS</t>
  </si>
  <si>
    <t>Manually fill target stats</t>
  </si>
  <si>
    <t>SINGLESHOT CALCULATIONS</t>
  </si>
  <si>
    <t>ST Require</t>
  </si>
  <si>
    <t>Weapon Stats</t>
  </si>
  <si>
    <t>ST Req.</t>
  </si>
  <si>
    <t>SmallFrame</t>
  </si>
  <si>
    <t>Weapon/Armor</t>
  </si>
  <si>
    <t>2x Toughness</t>
  </si>
  <si>
    <t>No Armor (0 Resist)</t>
  </si>
  <si>
    <t>Avenger Minigun (JHP)</t>
  </si>
  <si>
    <t>Avenger Minigun (AP)</t>
  </si>
  <si>
    <t>Minigun (AP)</t>
  </si>
  <si>
    <t>1LK BIG GUNS RANGE DMG TO DIFFERENT ARMORS</t>
  </si>
  <si>
    <t>MAMK2 + Psycho</t>
  </si>
  <si>
    <t>CAMK2 + Psycho</t>
  </si>
  <si>
    <t>Enclave Armor +Psycho</t>
  </si>
  <si>
    <t>APAMK2 + Psycho</t>
  </si>
  <si>
    <t>BURST</t>
  </si>
  <si>
    <t>EYESHOTS</t>
  </si>
  <si>
    <t>NO CR BONUS EYES</t>
  </si>
  <si>
    <t>Crit Mod.</t>
  </si>
  <si>
    <t>End CritRoll</t>
  </si>
  <si>
    <t>End CritChance</t>
  </si>
  <si>
    <t>Aimed Shot CritRoll DMG Modifier</t>
  </si>
  <si>
    <t>Raw Dmg Without Crit</t>
  </si>
  <si>
    <t>Crit Dmg Without Raw Dmg</t>
  </si>
  <si>
    <t>Bypass Chance %</t>
  </si>
  <si>
    <t>Non Bybassed DMG</t>
  </si>
  <si>
    <t>Bybassed DMG</t>
  </si>
  <si>
    <t>Bypass %</t>
  </si>
  <si>
    <t>Bypass % EyeShots</t>
  </si>
  <si>
    <t>Bypass % HeadShots</t>
  </si>
  <si>
    <t>Roll area</t>
  </si>
  <si>
    <t>% osuus</t>
  </si>
  <si>
    <t>Total bypass</t>
  </si>
  <si>
    <t>Bypass % Groin Shots</t>
  </si>
  <si>
    <t>Bypass % Legs shots</t>
  </si>
  <si>
    <t>Bypass % Arms shots</t>
  </si>
  <si>
    <t>END CALCULATIONS</t>
  </si>
  <si>
    <t>3.END Result in Yellow Cells</t>
  </si>
  <si>
    <t>4.Do not change those cells marked with RED (Calculations)</t>
  </si>
  <si>
    <t>AIMED</t>
  </si>
  <si>
    <t>ATTACKER STATS</t>
  </si>
  <si>
    <t>2.Fill TARGET STATS manually, You can use Target Resist Check for different resistances</t>
  </si>
  <si>
    <t>1.Pick ATTACKER STATS from the drop-down menus</t>
  </si>
  <si>
    <t>Bypassed DMG</t>
  </si>
  <si>
    <t>Raw</t>
  </si>
  <si>
    <t>Crit Dmg Without Raw Dmg on Bypass</t>
  </si>
  <si>
    <t>BYPASS TABLE</t>
  </si>
  <si>
    <t>HEADHOTS</t>
  </si>
  <si>
    <t>CR DMG MOD</t>
  </si>
  <si>
    <t>GROIN SHOTS</t>
  </si>
  <si>
    <t>NO CR BONUS GROIN</t>
  </si>
  <si>
    <t>APA</t>
  </si>
  <si>
    <t>dmg - dT</t>
  </si>
  <si>
    <t>DMG- DT</t>
  </si>
  <si>
    <t>4X DMG</t>
  </si>
  <si>
    <t>Viides osa</t>
  </si>
  <si>
    <t>CLJ</t>
  </si>
  <si>
    <t>zip gun</t>
  </si>
  <si>
    <t>camk2</t>
  </si>
  <si>
    <t>viides osa</t>
  </si>
  <si>
    <t>jhp</t>
  </si>
  <si>
    <t>2DM</t>
  </si>
  <si>
    <t>DR +30</t>
  </si>
  <si>
    <t>bbgun</t>
  </si>
  <si>
    <t>Viidesosa</t>
  </si>
  <si>
    <t>BYPASS CALC</t>
  </si>
  <si>
    <t>(AMMO*4-DT/5)*(1-RES/5)</t>
  </si>
  <si>
    <t>Deagle</t>
  </si>
  <si>
    <t>Camk2</t>
  </si>
  <si>
    <t>Deagle jhp</t>
  </si>
  <si>
    <t>3 DM</t>
  </si>
  <si>
    <t>DR50</t>
  </si>
  <si>
    <t>((AMMO-DT/5)*4) * AMMOR DR</t>
  </si>
  <si>
    <t>naked</t>
  </si>
  <si>
    <t>min max</t>
  </si>
  <si>
    <t>223 pistol</t>
  </si>
  <si>
    <t>DR -30</t>
  </si>
  <si>
    <t>PENETRATE</t>
  </si>
  <si>
    <t>2dm</t>
  </si>
  <si>
    <t>30+dr</t>
  </si>
  <si>
    <t>ZIP GUN JHP</t>
  </si>
  <si>
    <t>CAMK2</t>
  </si>
  <si>
    <t>30DR</t>
  </si>
  <si>
    <t>4X</t>
  </si>
  <si>
    <t>ZIP GUN AP</t>
  </si>
  <si>
    <t>35- DR</t>
  </si>
  <si>
    <t>ARMS SHOTS</t>
  </si>
  <si>
    <t>NO CR BONUS ARMS</t>
  </si>
  <si>
    <t>LEGS SHOTS</t>
  </si>
  <si>
    <t>KO Chance %</t>
  </si>
  <si>
    <t>KD Chance %</t>
  </si>
  <si>
    <t>KO TABLE</t>
  </si>
  <si>
    <t>KO % EyeShots</t>
  </si>
  <si>
    <t>KO %</t>
  </si>
  <si>
    <t>KD TABLE</t>
  </si>
  <si>
    <t>KD % EyeShots</t>
  </si>
  <si>
    <t>KD % HeadShots</t>
  </si>
  <si>
    <t>KD % Groin Shots</t>
  </si>
  <si>
    <t>KD % Legs shots</t>
  </si>
  <si>
    <t>KD %</t>
  </si>
  <si>
    <t>KD TOTAL</t>
  </si>
  <si>
    <t>Same</t>
  </si>
  <si>
    <t>sama</t>
  </si>
  <si>
    <t>tai</t>
  </si>
  <si>
    <t>WEAPON DROP</t>
  </si>
  <si>
    <t>wp drop arm shots</t>
  </si>
  <si>
    <t>Drop %</t>
  </si>
  <si>
    <t>drop total</t>
  </si>
  <si>
    <t>StoneWall</t>
  </si>
  <si>
    <t>AIMED SHOTS DMG to TARGET (Avarage dmg each hit)</t>
  </si>
  <si>
    <t>AIMED SHOTS EFFECT % to TARGET (Chance per each hit)</t>
  </si>
  <si>
    <t>Cripple</t>
  </si>
  <si>
    <t>Koko osuus</t>
  </si>
  <si>
    <t>Small frame +10% per each crit u get crippled/weapon drop additional roll</t>
  </si>
  <si>
    <t>ST over requirements = 1ST = +5% resist vs cripple/weapon drop, When below required st -5% each ST point</t>
  </si>
  <si>
    <t>With crit</t>
  </si>
  <si>
    <t>With ST req</t>
  </si>
  <si>
    <t>cripple arm shots</t>
  </si>
  <si>
    <t>weapon req</t>
  </si>
  <si>
    <t>bonus/malus</t>
  </si>
  <si>
    <t>With SF</t>
  </si>
  <si>
    <t>Arm Cripple Chance %</t>
  </si>
  <si>
    <t>Weapon Drop Chance %</t>
  </si>
  <si>
    <t>Arm Cripple %</t>
  </si>
  <si>
    <t>W.Drop %</t>
  </si>
  <si>
    <t>alue</t>
  </si>
  <si>
    <t>cripple total</t>
  </si>
  <si>
    <t>Weap. Handl.</t>
  </si>
  <si>
    <t>Waep. Hand.</t>
  </si>
  <si>
    <t>Strength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</si>
</sst>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&quot; &quot;?/2"/>
    <numFmt numFmtId="165" formatCode="#&quot; &quot;?/10"/>
    <numFmt numFmtId="166" formatCode="0.0"/>
    <numFmt numFmtId="167" formatCode="0.0\ %"/>
    <numFmt numFmtId="168" formatCode="0.000\ 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D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FF93"/>
        <bgColor indexed="64"/>
      </patternFill>
    </fill>
    <fill>
      <patternFill patternType="solid">
        <fgColor rgb="FFC78FFF"/>
        <bgColor indexed="64"/>
      </patternFill>
    </fill>
    <fill>
      <patternFill patternType="solid">
        <fgColor rgb="FFDF575A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1">
    <xf numFmtId="0" fontId="0" fillId="0" borderId="0" xfId="0"/>
    <xf numFmtId="0" fontId="0" fillId="8" borderId="7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0" fillId="8" borderId="27" xfId="0" applyFill="1" applyBorder="1" applyAlignment="1">
      <alignment horizontal="center" vertical="center"/>
    </xf>
    <xf numFmtId="0" fontId="0" fillId="8" borderId="2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0" fillId="10" borderId="20" xfId="0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10" borderId="25" xfId="0" applyFont="1" applyFill="1" applyBorder="1" applyAlignment="1">
      <alignment horizontal="center" vertical="center"/>
    </xf>
    <xf numFmtId="0" fontId="0" fillId="10" borderId="27" xfId="0" applyFill="1" applyBorder="1" applyAlignment="1">
      <alignment horizontal="center" vertical="center"/>
    </xf>
    <xf numFmtId="0" fontId="0" fillId="10" borderId="28" xfId="0" applyFill="1" applyBorder="1" applyAlignment="1">
      <alignment horizontal="center" vertical="center"/>
    </xf>
    <xf numFmtId="0" fontId="1" fillId="11" borderId="22" xfId="0" applyFont="1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1" fillId="11" borderId="23" xfId="0" applyFont="1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12" borderId="23" xfId="0" applyFont="1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1" fillId="12" borderId="24" xfId="0" applyFont="1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0" fillId="13" borderId="12" xfId="0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0" fillId="13" borderId="15" xfId="0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0" fillId="14" borderId="30" xfId="0" applyFill="1" applyBorder="1" applyAlignment="1">
      <alignment horizontal="center" vertical="center"/>
    </xf>
    <xf numFmtId="0" fontId="0" fillId="14" borderId="31" xfId="0" applyFill="1" applyBorder="1" applyAlignment="1">
      <alignment horizontal="center" vertical="center"/>
    </xf>
    <xf numFmtId="12" fontId="0" fillId="14" borderId="32" xfId="0" applyNumberFormat="1" applyFill="1" applyBorder="1" applyAlignment="1">
      <alignment horizontal="center" vertical="center"/>
    </xf>
    <xf numFmtId="0" fontId="0" fillId="14" borderId="32" xfId="0" applyFill="1" applyBorder="1" applyAlignment="1">
      <alignment horizontal="center" vertical="center"/>
    </xf>
    <xf numFmtId="0" fontId="0" fillId="14" borderId="33" xfId="0" applyFill="1" applyBorder="1" applyAlignment="1">
      <alignment horizontal="center" vertical="center"/>
    </xf>
    <xf numFmtId="0" fontId="0" fillId="14" borderId="11" xfId="0" applyFill="1" applyBorder="1" applyAlignment="1">
      <alignment horizontal="center" vertical="center"/>
    </xf>
    <xf numFmtId="12" fontId="0" fillId="14" borderId="7" xfId="0" applyNumberFormat="1" applyFill="1" applyBorder="1" applyAlignment="1">
      <alignment horizontal="center" vertical="center"/>
    </xf>
    <xf numFmtId="0" fontId="0" fillId="14" borderId="7" xfId="0" applyFill="1" applyBorder="1" applyAlignment="1">
      <alignment horizontal="center" vertical="center"/>
    </xf>
    <xf numFmtId="0" fontId="0" fillId="14" borderId="12" xfId="0" applyFill="1" applyBorder="1" applyAlignment="1">
      <alignment horizontal="center" vertical="center"/>
    </xf>
    <xf numFmtId="164" fontId="0" fillId="14" borderId="7" xfId="0" applyNumberFormat="1" applyFill="1" applyBorder="1" applyAlignment="1">
      <alignment horizontal="center" vertical="center"/>
    </xf>
    <xf numFmtId="165" fontId="0" fillId="14" borderId="7" xfId="0" applyNumberFormat="1" applyFill="1" applyBorder="1" applyAlignment="1">
      <alignment horizontal="center" vertical="center"/>
    </xf>
    <xf numFmtId="0" fontId="0" fillId="14" borderId="13" xfId="0" applyFill="1" applyBorder="1" applyAlignment="1">
      <alignment horizontal="center" vertical="center"/>
    </xf>
    <xf numFmtId="12" fontId="0" fillId="14" borderId="14" xfId="0" applyNumberFormat="1" applyFill="1" applyBorder="1" applyAlignment="1">
      <alignment horizontal="center" vertical="center"/>
    </xf>
    <xf numFmtId="0" fontId="0" fillId="14" borderId="14" xfId="0" applyFill="1" applyBorder="1" applyAlignment="1">
      <alignment horizontal="center" vertical="center"/>
    </xf>
    <xf numFmtId="0" fontId="0" fillId="14" borderId="1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16" borderId="0" xfId="0" applyFont="1" applyFill="1" applyAlignment="1">
      <alignment horizontal="center" vertical="center"/>
    </xf>
    <xf numFmtId="0" fontId="1" fillId="13" borderId="35" xfId="0" applyFont="1" applyFill="1" applyBorder="1" applyAlignment="1">
      <alignment horizontal="center" vertical="center"/>
    </xf>
    <xf numFmtId="0" fontId="1" fillId="13" borderId="36" xfId="0" applyFont="1" applyFill="1" applyBorder="1" applyAlignment="1">
      <alignment horizontal="center" vertical="center"/>
    </xf>
    <xf numFmtId="0" fontId="1" fillId="13" borderId="6" xfId="0" applyFont="1" applyFill="1" applyBorder="1" applyAlignment="1">
      <alignment horizontal="center" vertical="center"/>
    </xf>
    <xf numFmtId="0" fontId="1" fillId="13" borderId="34" xfId="0" applyFont="1" applyFill="1" applyBorder="1" applyAlignment="1">
      <alignment horizontal="center" vertical="center"/>
    </xf>
    <xf numFmtId="0" fontId="0" fillId="13" borderId="20" xfId="0" applyFill="1" applyBorder="1" applyAlignment="1">
      <alignment horizontal="center" vertical="center"/>
    </xf>
    <xf numFmtId="0" fontId="0" fillId="13" borderId="17" xfId="0" applyFill="1" applyBorder="1" applyAlignment="1">
      <alignment horizontal="center" vertical="center"/>
    </xf>
    <xf numFmtId="0" fontId="0" fillId="13" borderId="21" xfId="0" applyFill="1" applyBorder="1" applyAlignment="1">
      <alignment horizontal="center" vertical="center"/>
    </xf>
    <xf numFmtId="0" fontId="0" fillId="13" borderId="18" xfId="0" applyFill="1" applyBorder="1" applyAlignment="1">
      <alignment horizontal="center" vertical="center"/>
    </xf>
    <xf numFmtId="0" fontId="1" fillId="13" borderId="4" xfId="0" applyFont="1" applyFill="1" applyBorder="1" applyAlignment="1">
      <alignment horizontal="center" vertical="center"/>
    </xf>
    <xf numFmtId="0" fontId="0" fillId="13" borderId="41" xfId="0" applyFill="1" applyBorder="1" applyAlignment="1">
      <alignment horizontal="center" vertical="center"/>
    </xf>
    <xf numFmtId="0" fontId="0" fillId="13" borderId="42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3" borderId="39" xfId="0" applyFont="1" applyFill="1" applyBorder="1" applyAlignment="1">
      <alignment horizontal="center" vertical="center"/>
    </xf>
    <xf numFmtId="0" fontId="0" fillId="13" borderId="40" xfId="0" applyFont="1" applyFill="1" applyBorder="1" applyAlignment="1">
      <alignment horizontal="center" vertical="center"/>
    </xf>
    <xf numFmtId="0" fontId="0" fillId="13" borderId="37" xfId="0" applyFont="1" applyFill="1" applyBorder="1" applyAlignment="1">
      <alignment horizontal="center" vertical="center"/>
    </xf>
    <xf numFmtId="0" fontId="0" fillId="13" borderId="38" xfId="0" applyFont="1" applyFill="1" applyBorder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1" fillId="17" borderId="22" xfId="0" applyFont="1" applyFill="1" applyBorder="1" applyAlignment="1">
      <alignment horizontal="center" vertical="center"/>
    </xf>
    <xf numFmtId="0" fontId="0" fillId="17" borderId="19" xfId="0" applyFill="1" applyBorder="1" applyAlignment="1">
      <alignment horizontal="center" vertical="center"/>
    </xf>
    <xf numFmtId="0" fontId="0" fillId="17" borderId="9" xfId="0" applyFill="1" applyBorder="1" applyAlignment="1">
      <alignment horizontal="center" vertical="center"/>
    </xf>
    <xf numFmtId="0" fontId="0" fillId="17" borderId="16" xfId="0" applyFill="1" applyBorder="1" applyAlignment="1">
      <alignment horizontal="center" vertical="center"/>
    </xf>
    <xf numFmtId="0" fontId="0" fillId="17" borderId="22" xfId="0" applyFill="1" applyBorder="1" applyAlignment="1">
      <alignment horizontal="center" vertical="center"/>
    </xf>
    <xf numFmtId="0" fontId="1" fillId="17" borderId="23" xfId="0" applyFont="1" applyFill="1" applyBorder="1" applyAlignment="1">
      <alignment horizontal="center" vertical="center"/>
    </xf>
    <xf numFmtId="0" fontId="0" fillId="17" borderId="20" xfId="0" applyFill="1" applyBorder="1" applyAlignment="1">
      <alignment horizontal="center" vertical="center"/>
    </xf>
    <xf numFmtId="0" fontId="0" fillId="17" borderId="7" xfId="0" applyFill="1" applyBorder="1" applyAlignment="1">
      <alignment horizontal="center" vertical="center"/>
    </xf>
    <xf numFmtId="0" fontId="0" fillId="17" borderId="17" xfId="0" applyFill="1" applyBorder="1" applyAlignment="1">
      <alignment horizontal="center" vertical="center"/>
    </xf>
    <xf numFmtId="0" fontId="0" fillId="17" borderId="23" xfId="0" applyFill="1" applyBorder="1" applyAlignment="1">
      <alignment horizontal="center" vertical="center"/>
    </xf>
    <xf numFmtId="0" fontId="0" fillId="17" borderId="12" xfId="0" applyFill="1" applyBorder="1" applyAlignment="1">
      <alignment horizontal="center" vertical="center"/>
    </xf>
    <xf numFmtId="0" fontId="1" fillId="17" borderId="25" xfId="0" applyFont="1" applyFill="1" applyBorder="1" applyAlignment="1">
      <alignment horizontal="center" vertical="center"/>
    </xf>
    <xf numFmtId="0" fontId="0" fillId="17" borderId="26" xfId="0" applyFill="1" applyBorder="1" applyAlignment="1">
      <alignment horizontal="center" vertical="center"/>
    </xf>
    <xf numFmtId="0" fontId="0" fillId="17" borderId="27" xfId="0" applyFill="1" applyBorder="1" applyAlignment="1">
      <alignment horizontal="center" vertical="center"/>
    </xf>
    <xf numFmtId="0" fontId="0" fillId="17" borderId="28" xfId="0" applyFill="1" applyBorder="1" applyAlignment="1">
      <alignment horizontal="center" vertical="center"/>
    </xf>
    <xf numFmtId="0" fontId="0" fillId="17" borderId="25" xfId="0" applyFill="1" applyBorder="1" applyAlignment="1">
      <alignment horizontal="center" vertical="center"/>
    </xf>
    <xf numFmtId="0" fontId="0" fillId="17" borderId="2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18" borderId="7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19" borderId="9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18" borderId="30" xfId="0" applyFill="1" applyBorder="1" applyAlignment="1">
      <alignment horizontal="center" vertical="center"/>
    </xf>
    <xf numFmtId="0" fontId="0" fillId="18" borderId="34" xfId="0" applyFill="1" applyBorder="1" applyAlignment="1">
      <alignment horizontal="center" vertical="center"/>
    </xf>
    <xf numFmtId="0" fontId="0" fillId="18" borderId="32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" fillId="19" borderId="44" xfId="0" applyFont="1" applyFill="1" applyBorder="1" applyAlignment="1">
      <alignment horizontal="center" vertical="center"/>
    </xf>
    <xf numFmtId="0" fontId="1" fillId="20" borderId="4" xfId="0" applyFont="1" applyFill="1" applyBorder="1" applyAlignment="1">
      <alignment horizontal="center" vertical="center"/>
    </xf>
    <xf numFmtId="0" fontId="0" fillId="10" borderId="26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10" borderId="22" xfId="0" applyNumberFormat="1" applyFill="1" applyBorder="1" applyAlignment="1">
      <alignment horizontal="center" vertical="center"/>
    </xf>
    <xf numFmtId="49" fontId="0" fillId="3" borderId="23" xfId="0" applyNumberFormat="1" applyFill="1" applyBorder="1" applyAlignment="1">
      <alignment horizontal="center" vertical="center"/>
    </xf>
    <xf numFmtId="49" fontId="0" fillId="6" borderId="23" xfId="0" applyNumberFormat="1" applyFill="1" applyBorder="1" applyAlignment="1">
      <alignment horizontal="center" vertical="center"/>
    </xf>
    <xf numFmtId="49" fontId="0" fillId="4" borderId="24" xfId="0" applyNumberForma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49" fontId="0" fillId="20" borderId="23" xfId="0" applyNumberFormat="1" applyFill="1" applyBorder="1" applyAlignment="1">
      <alignment horizontal="center" vertical="center"/>
    </xf>
    <xf numFmtId="0" fontId="0" fillId="20" borderId="20" xfId="0" applyFill="1" applyBorder="1" applyAlignment="1">
      <alignment horizontal="center" vertical="center"/>
    </xf>
    <xf numFmtId="0" fontId="0" fillId="20" borderId="7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49" fontId="0" fillId="21" borderId="23" xfId="0" applyNumberFormat="1" applyFill="1" applyBorder="1" applyAlignment="1">
      <alignment horizontal="center" vertical="center"/>
    </xf>
    <xf numFmtId="0" fontId="0" fillId="21" borderId="20" xfId="0" applyFill="1" applyBorder="1" applyAlignment="1">
      <alignment horizontal="center" vertical="center"/>
    </xf>
    <xf numFmtId="0" fontId="0" fillId="21" borderId="7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49" fontId="0" fillId="22" borderId="23" xfId="0" applyNumberFormat="1" applyFill="1" applyBorder="1" applyAlignment="1">
      <alignment horizontal="center" vertical="center"/>
    </xf>
    <xf numFmtId="0" fontId="0" fillId="22" borderId="20" xfId="0" applyFill="1" applyBorder="1" applyAlignment="1">
      <alignment horizontal="center" vertical="center"/>
    </xf>
    <xf numFmtId="0" fontId="0" fillId="22" borderId="7" xfId="0" applyFill="1" applyBorder="1" applyAlignment="1">
      <alignment horizontal="center" vertical="center"/>
    </xf>
    <xf numFmtId="0" fontId="0" fillId="22" borderId="12" xfId="0" applyFill="1" applyBorder="1" applyAlignment="1">
      <alignment horizontal="center" vertical="center"/>
    </xf>
    <xf numFmtId="0" fontId="0" fillId="10" borderId="48" xfId="0" applyFill="1" applyBorder="1" applyAlignment="1">
      <alignment horizontal="center" vertical="center"/>
    </xf>
    <xf numFmtId="0" fontId="0" fillId="10" borderId="32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9" borderId="35" xfId="0" applyFill="1" applyBorder="1" applyAlignment="1">
      <alignment horizontal="center" vertical="center"/>
    </xf>
    <xf numFmtId="0" fontId="0" fillId="19" borderId="30" xfId="0" applyFill="1" applyBorder="1" applyAlignment="1">
      <alignment horizontal="center" vertical="center"/>
    </xf>
    <xf numFmtId="0" fontId="0" fillId="19" borderId="34" xfId="0" applyFill="1" applyBorder="1" applyAlignment="1">
      <alignment horizontal="center" vertical="center"/>
    </xf>
    <xf numFmtId="0" fontId="1" fillId="3" borderId="5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7" borderId="49" xfId="0" applyFont="1" applyFill="1" applyBorder="1" applyAlignment="1">
      <alignment horizontal="center" vertical="center"/>
    </xf>
    <xf numFmtId="0" fontId="1" fillId="7" borderId="50" xfId="0" applyFont="1" applyFill="1" applyBorder="1" applyAlignment="1">
      <alignment horizontal="center" vertical="center"/>
    </xf>
    <xf numFmtId="0" fontId="1" fillId="7" borderId="51" xfId="0" applyFont="1" applyFill="1" applyBorder="1" applyAlignment="1">
      <alignment horizontal="center" vertical="center"/>
    </xf>
    <xf numFmtId="0" fontId="0" fillId="23" borderId="48" xfId="0" applyFill="1" applyBorder="1" applyAlignment="1">
      <alignment horizontal="center" vertical="center"/>
    </xf>
    <xf numFmtId="0" fontId="0" fillId="23" borderId="32" xfId="0" applyFill="1" applyBorder="1" applyAlignment="1">
      <alignment horizontal="center" vertical="center"/>
    </xf>
    <xf numFmtId="0" fontId="0" fillId="23" borderId="20" xfId="0" applyFill="1" applyBorder="1" applyAlignment="1">
      <alignment horizontal="center" vertical="center"/>
    </xf>
    <xf numFmtId="0" fontId="0" fillId="23" borderId="7" xfId="0" applyFill="1" applyBorder="1" applyAlignment="1">
      <alignment horizontal="center" vertical="center"/>
    </xf>
    <xf numFmtId="0" fontId="3" fillId="19" borderId="7" xfId="0" applyFont="1" applyFill="1" applyBorder="1" applyAlignment="1">
      <alignment horizontal="center" vertical="center"/>
    </xf>
    <xf numFmtId="0" fontId="0" fillId="20" borderId="44" xfId="0" applyFill="1" applyBorder="1" applyAlignment="1">
      <alignment horizontal="center" vertical="center"/>
    </xf>
    <xf numFmtId="0" fontId="1" fillId="15" borderId="0" xfId="0" applyFont="1" applyFill="1" applyAlignment="1">
      <alignment horizontal="center" vertical="center"/>
    </xf>
    <xf numFmtId="0" fontId="0" fillId="14" borderId="36" xfId="0" applyFill="1" applyBorder="1" applyAlignment="1">
      <alignment horizontal="center" vertical="center"/>
    </xf>
    <xf numFmtId="0" fontId="0" fillId="14" borderId="53" xfId="0" applyFill="1" applyBorder="1" applyAlignment="1">
      <alignment horizontal="center" vertical="center"/>
    </xf>
    <xf numFmtId="0" fontId="0" fillId="14" borderId="17" xfId="0" applyFill="1" applyBorder="1" applyAlignment="1">
      <alignment horizontal="center" vertical="center"/>
    </xf>
    <xf numFmtId="0" fontId="0" fillId="14" borderId="18" xfId="0" applyFill="1" applyBorder="1" applyAlignment="1">
      <alignment horizontal="center" vertical="center"/>
    </xf>
    <xf numFmtId="0" fontId="0" fillId="14" borderId="44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18" borderId="32" xfId="0" applyFont="1" applyFill="1" applyBorder="1" applyAlignment="1">
      <alignment horizontal="center" vertical="center"/>
    </xf>
    <xf numFmtId="0" fontId="0" fillId="18" borderId="53" xfId="0" applyFill="1" applyBorder="1" applyAlignment="1">
      <alignment horizontal="center" vertical="center"/>
    </xf>
    <xf numFmtId="12" fontId="0" fillId="0" borderId="7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1" fontId="0" fillId="0" borderId="7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1" fillId="6" borderId="13" xfId="0" applyNumberFormat="1" applyFont="1" applyFill="1" applyBorder="1" applyAlignment="1">
      <alignment horizontal="center" vertical="center"/>
    </xf>
    <xf numFmtId="2" fontId="1" fillId="6" borderId="15" xfId="0" applyNumberFormat="1" applyFont="1" applyFill="1" applyBorder="1" applyAlignment="1">
      <alignment horizontal="center" vertical="center"/>
    </xf>
    <xf numFmtId="0" fontId="2" fillId="14" borderId="0" xfId="0" applyFont="1" applyFill="1" applyAlignment="1">
      <alignment horizontal="center" vertical="center"/>
    </xf>
    <xf numFmtId="0" fontId="0" fillId="19" borderId="54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4" fillId="6" borderId="54" xfId="0" applyFont="1" applyFill="1" applyBorder="1" applyAlignment="1">
      <alignment horizontal="center" vertical="center"/>
    </xf>
    <xf numFmtId="0" fontId="0" fillId="20" borderId="55" xfId="0" applyFill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horizontal="center" vertical="center"/>
    </xf>
    <xf numFmtId="0" fontId="1" fillId="0" borderId="47" xfId="0" applyFont="1" applyBorder="1" applyAlignment="1">
      <alignment horizontal="left" vertical="top"/>
    </xf>
    <xf numFmtId="0" fontId="1" fillId="0" borderId="5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0" fillId="14" borderId="0" xfId="0" applyFont="1" applyFill="1" applyAlignment="1">
      <alignment horizontal="center" vertical="center"/>
    </xf>
    <xf numFmtId="0" fontId="1" fillId="24" borderId="30" xfId="0" applyFont="1" applyFill="1" applyBorder="1" applyAlignment="1">
      <alignment horizontal="center" vertical="center"/>
    </xf>
    <xf numFmtId="0" fontId="1" fillId="24" borderId="3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20" borderId="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17" borderId="11" xfId="0" applyFill="1" applyBorder="1" applyAlignment="1">
      <alignment horizontal="center" vertical="center"/>
    </xf>
    <xf numFmtId="0" fontId="0" fillId="17" borderId="57" xfId="0" applyFill="1" applyBorder="1" applyAlignment="1">
      <alignment horizontal="center" vertical="center"/>
    </xf>
    <xf numFmtId="0" fontId="0" fillId="10" borderId="43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0" fillId="17" borderId="48" xfId="0" applyFill="1" applyBorder="1" applyAlignment="1">
      <alignment horizontal="center" vertical="center"/>
    </xf>
    <xf numFmtId="0" fontId="0" fillId="17" borderId="32" xfId="0" applyFill="1" applyBorder="1" applyAlignment="1">
      <alignment horizontal="center" vertical="center"/>
    </xf>
    <xf numFmtId="0" fontId="0" fillId="17" borderId="53" xfId="0" applyFill="1" applyBorder="1" applyAlignment="1">
      <alignment horizontal="center" vertical="center"/>
    </xf>
    <xf numFmtId="0" fontId="0" fillId="17" borderId="52" xfId="0" applyFill="1" applyBorder="1" applyAlignment="1">
      <alignment horizontal="center" vertical="center"/>
    </xf>
    <xf numFmtId="0" fontId="0" fillId="17" borderId="31" xfId="0" applyFill="1" applyBorder="1" applyAlignment="1">
      <alignment horizontal="center" vertical="center"/>
    </xf>
    <xf numFmtId="0" fontId="0" fillId="17" borderId="33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 vertical="center"/>
    </xf>
    <xf numFmtId="0" fontId="1" fillId="16" borderId="13" xfId="0" applyFont="1" applyFill="1" applyBorder="1" applyAlignment="1">
      <alignment horizontal="center" vertical="center"/>
    </xf>
    <xf numFmtId="0" fontId="1" fillId="25" borderId="4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0" borderId="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166" fontId="0" fillId="0" borderId="14" xfId="0" applyNumberFormat="1" applyBorder="1" applyAlignment="1">
      <alignment horizontal="center" vertical="center"/>
    </xf>
    <xf numFmtId="166" fontId="0" fillId="0" borderId="15" xfId="0" applyNumberFormat="1" applyBorder="1" applyAlignment="1">
      <alignment horizontal="center" vertical="center"/>
    </xf>
    <xf numFmtId="0" fontId="1" fillId="16" borderId="57" xfId="0" applyFont="1" applyFill="1" applyBorder="1" applyAlignment="1">
      <alignment horizontal="center" vertical="center"/>
    </xf>
    <xf numFmtId="166" fontId="0" fillId="0" borderId="27" xfId="0" applyNumberFormat="1" applyBorder="1" applyAlignment="1">
      <alignment horizontal="center" vertical="center"/>
    </xf>
    <xf numFmtId="166" fontId="0" fillId="0" borderId="29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0" fillId="18" borderId="64" xfId="0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" fillId="24" borderId="61" xfId="0" applyFont="1" applyFill="1" applyBorder="1" applyAlignment="1">
      <alignment horizontal="center" vertical="center"/>
    </xf>
    <xf numFmtId="0" fontId="1" fillId="24" borderId="66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19" borderId="73" xfId="0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1" fillId="0" borderId="78" xfId="0" applyFont="1" applyBorder="1" applyAlignment="1">
      <alignment horizontal="left" vertical="top"/>
    </xf>
    <xf numFmtId="0" fontId="0" fillId="18" borderId="79" xfId="0" applyFill="1" applyBorder="1" applyAlignment="1">
      <alignment horizontal="center" vertical="center"/>
    </xf>
    <xf numFmtId="0" fontId="0" fillId="18" borderId="67" xfId="0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1" fillId="26" borderId="11" xfId="0" applyFont="1" applyFill="1" applyBorder="1" applyAlignment="1">
      <alignment horizontal="center" vertical="center"/>
    </xf>
    <xf numFmtId="0" fontId="1" fillId="26" borderId="12" xfId="0" applyFont="1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0" borderId="7" xfId="0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8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9" fontId="0" fillId="0" borderId="85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7" fontId="0" fillId="6" borderId="12" xfId="0" applyNumberFormat="1" applyFill="1" applyBorder="1" applyAlignment="1">
      <alignment horizontal="center" vertical="center"/>
    </xf>
    <xf numFmtId="167" fontId="0" fillId="6" borderId="15" xfId="0" applyNumberFormat="1" applyFill="1" applyBorder="1" applyAlignment="1">
      <alignment horizontal="center" vertical="center"/>
    </xf>
    <xf numFmtId="0" fontId="11" fillId="19" borderId="88" xfId="0" applyFont="1" applyFill="1" applyBorder="1" applyAlignment="1">
      <alignment vertical="center"/>
    </xf>
    <xf numFmtId="2" fontId="0" fillId="6" borderId="13" xfId="0" applyNumberFormat="1" applyFill="1" applyBorder="1" applyAlignment="1">
      <alignment horizontal="center" vertical="center"/>
    </xf>
    <xf numFmtId="2" fontId="0" fillId="6" borderId="24" xfId="0" applyNumberFormat="1" applyFill="1" applyBorder="1" applyAlignment="1">
      <alignment horizontal="center" vertical="center"/>
    </xf>
    <xf numFmtId="0" fontId="1" fillId="26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18" borderId="32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5" fillId="9" borderId="0" xfId="0" applyNumberFormat="1" applyFont="1" applyFill="1" applyBorder="1" applyAlignment="1">
      <alignment vertical="center"/>
    </xf>
    <xf numFmtId="2" fontId="0" fillId="18" borderId="9" xfId="0" applyNumberFormat="1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0" fillId="19" borderId="16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18" borderId="48" xfId="0" applyFill="1" applyBorder="1" applyAlignment="1">
      <alignment horizontal="center" vertical="center"/>
    </xf>
    <xf numFmtId="0" fontId="0" fillId="19" borderId="2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56" xfId="0" applyNumberFormat="1" applyBorder="1" applyAlignment="1">
      <alignment horizontal="center" vertical="center"/>
    </xf>
    <xf numFmtId="0" fontId="0" fillId="19" borderId="89" xfId="0" applyFill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167" fontId="0" fillId="6" borderId="33" xfId="0" applyNumberFormat="1" applyFill="1" applyBorder="1" applyAlignment="1">
      <alignment horizontal="center" vertical="center"/>
    </xf>
    <xf numFmtId="0" fontId="1" fillId="26" borderId="34" xfId="0" applyFont="1" applyFill="1" applyBorder="1" applyAlignment="1">
      <alignment horizontal="center" vertical="center"/>
    </xf>
    <xf numFmtId="0" fontId="1" fillId="26" borderId="44" xfId="0" applyFont="1" applyFill="1" applyBorder="1" applyAlignment="1">
      <alignment horizontal="center" vertical="center"/>
    </xf>
    <xf numFmtId="0" fontId="1" fillId="26" borderId="5" xfId="0" applyFont="1" applyFill="1" applyBorder="1" applyAlignment="1">
      <alignment horizontal="center" vertical="center"/>
    </xf>
    <xf numFmtId="167" fontId="0" fillId="6" borderId="85" xfId="0" applyNumberFormat="1" applyFill="1" applyBorder="1" applyAlignment="1">
      <alignment horizontal="center" vertical="center"/>
    </xf>
    <xf numFmtId="167" fontId="0" fillId="6" borderId="81" xfId="0" applyNumberFormat="1" applyFill="1" applyBorder="1" applyAlignment="1">
      <alignment horizontal="center" vertical="center"/>
    </xf>
    <xf numFmtId="167" fontId="0" fillId="6" borderId="93" xfId="0" applyNumberFormat="1" applyFill="1" applyBorder="1" applyAlignment="1">
      <alignment horizontal="center" vertical="center"/>
    </xf>
    <xf numFmtId="0" fontId="1" fillId="26" borderId="46" xfId="0" applyFont="1" applyFill="1" applyBorder="1" applyAlignment="1">
      <alignment horizontal="center" vertical="center"/>
    </xf>
    <xf numFmtId="167" fontId="0" fillId="6" borderId="94" xfId="0" applyNumberFormat="1" applyFill="1" applyBorder="1" applyAlignment="1">
      <alignment horizontal="center" vertical="center"/>
    </xf>
    <xf numFmtId="167" fontId="0" fillId="6" borderId="95" xfId="0" applyNumberFormat="1" applyFill="1" applyBorder="1" applyAlignment="1">
      <alignment horizontal="center" vertical="center"/>
    </xf>
    <xf numFmtId="167" fontId="0" fillId="6" borderId="96" xfId="0" applyNumberFormat="1" applyFill="1" applyBorder="1" applyAlignment="1">
      <alignment horizontal="center" vertical="center"/>
    </xf>
    <xf numFmtId="167" fontId="0" fillId="6" borderId="52" xfId="0" applyNumberFormat="1" applyFill="1" applyBorder="1" applyAlignment="1">
      <alignment horizontal="center" vertical="center"/>
    </xf>
    <xf numFmtId="167" fontId="0" fillId="6" borderId="23" xfId="0" applyNumberFormat="1" applyFill="1" applyBorder="1" applyAlignment="1">
      <alignment horizontal="center" vertical="center"/>
    </xf>
    <xf numFmtId="167" fontId="0" fillId="6" borderId="24" xfId="0" applyNumberFormat="1" applyFill="1" applyBorder="1" applyAlignment="1">
      <alignment horizontal="center" vertical="center"/>
    </xf>
    <xf numFmtId="0" fontId="0" fillId="19" borderId="44" xfId="0" applyFill="1" applyBorder="1" applyAlignment="1">
      <alignment horizontal="center" vertical="center"/>
    </xf>
    <xf numFmtId="2" fontId="0" fillId="20" borderId="5" xfId="0" applyNumberFormat="1" applyFill="1" applyBorder="1" applyAlignment="1">
      <alignment horizontal="center" vertical="center"/>
    </xf>
    <xf numFmtId="2" fontId="0" fillId="20" borderId="46" xfId="0" applyNumberFormat="1" applyFill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/>
    </xf>
    <xf numFmtId="0" fontId="5" fillId="19" borderId="2" xfId="0" applyFont="1" applyFill="1" applyBorder="1" applyAlignment="1">
      <alignment horizontal="center" vertical="center"/>
    </xf>
    <xf numFmtId="0" fontId="5" fillId="19" borderId="3" xfId="0" applyFont="1" applyFill="1" applyBorder="1" applyAlignment="1">
      <alignment horizontal="center" vertical="center"/>
    </xf>
    <xf numFmtId="0" fontId="11" fillId="19" borderId="86" xfId="0" applyFont="1" applyFill="1" applyBorder="1" applyAlignment="1">
      <alignment horizontal="center" vertical="center"/>
    </xf>
    <xf numFmtId="0" fontId="11" fillId="19" borderId="87" xfId="0" applyFont="1" applyFill="1" applyBorder="1" applyAlignment="1">
      <alignment horizontal="center" vertical="center"/>
    </xf>
    <xf numFmtId="0" fontId="11" fillId="19" borderId="88" xfId="0" applyFont="1" applyFill="1" applyBorder="1" applyAlignment="1">
      <alignment horizontal="center" vertical="center"/>
    </xf>
    <xf numFmtId="2" fontId="0" fillId="20" borderId="4" xfId="0" applyNumberFormat="1" applyFill="1" applyBorder="1" applyAlignment="1">
      <alignment horizontal="center" vertical="center"/>
    </xf>
    <xf numFmtId="0" fontId="1" fillId="0" borderId="4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18" borderId="68" xfId="0" applyFont="1" applyFill="1" applyBorder="1" applyAlignment="1">
      <alignment horizontal="center" vertical="center"/>
    </xf>
    <xf numFmtId="0" fontId="1" fillId="18" borderId="5" xfId="0" applyFont="1" applyFill="1" applyBorder="1" applyAlignment="1">
      <alignment horizontal="center" vertical="center"/>
    </xf>
    <xf numFmtId="0" fontId="1" fillId="18" borderId="46" xfId="0" applyFont="1" applyFill="1" applyBorder="1" applyAlignment="1">
      <alignment horizontal="center" vertical="center"/>
    </xf>
    <xf numFmtId="0" fontId="0" fillId="20" borderId="5" xfId="0" applyFill="1" applyBorder="1" applyAlignment="1">
      <alignment horizontal="center" vertical="center"/>
    </xf>
    <xf numFmtId="0" fontId="0" fillId="20" borderId="46" xfId="0" applyFill="1" applyBorder="1" applyAlignment="1">
      <alignment horizontal="center" vertical="center"/>
    </xf>
    <xf numFmtId="0" fontId="0" fillId="20" borderId="4" xfId="0" applyFill="1" applyBorder="1" applyAlignment="1">
      <alignment horizontal="center" vertical="center"/>
    </xf>
    <xf numFmtId="0" fontId="5" fillId="19" borderId="43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1" fillId="11" borderId="68" xfId="0" applyFont="1" applyFill="1" applyBorder="1" applyAlignment="1">
      <alignment horizontal="center" vertical="center"/>
    </xf>
    <xf numFmtId="0" fontId="1" fillId="11" borderId="46" xfId="0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center"/>
    </xf>
    <xf numFmtId="0" fontId="1" fillId="20" borderId="6" xfId="0" applyFont="1" applyFill="1" applyBorder="1" applyAlignment="1">
      <alignment horizontal="center" vertical="center"/>
    </xf>
    <xf numFmtId="0" fontId="1" fillId="20" borderId="34" xfId="0" applyFont="1" applyFill="1" applyBorder="1" applyAlignment="1">
      <alignment horizontal="center" vertical="center"/>
    </xf>
    <xf numFmtId="0" fontId="1" fillId="11" borderId="80" xfId="0" applyFont="1" applyFill="1" applyBorder="1" applyAlignment="1">
      <alignment horizontal="center" vertical="center"/>
    </xf>
    <xf numFmtId="0" fontId="0" fillId="14" borderId="56" xfId="0" applyFill="1" applyBorder="1" applyAlignment="1">
      <alignment horizontal="center" vertical="center"/>
    </xf>
    <xf numFmtId="0" fontId="1" fillId="20" borderId="4" xfId="0" applyFont="1" applyFill="1" applyBorder="1" applyAlignment="1">
      <alignment horizontal="center" vertical="center"/>
    </xf>
    <xf numFmtId="0" fontId="1" fillId="20" borderId="5" xfId="0" applyFont="1" applyFill="1" applyBorder="1" applyAlignment="1">
      <alignment horizontal="center" vertical="center"/>
    </xf>
    <xf numFmtId="0" fontId="1" fillId="20" borderId="4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11" borderId="30" xfId="0" applyFont="1" applyFill="1" applyBorder="1" applyAlignment="1">
      <alignment horizontal="center" vertical="center"/>
    </xf>
    <xf numFmtId="0" fontId="1" fillId="11" borderId="34" xfId="0" applyFont="1" applyFill="1" applyBorder="1" applyAlignment="1">
      <alignment horizontal="center" vertical="center"/>
    </xf>
    <xf numFmtId="0" fontId="0" fillId="20" borderId="7" xfId="0" applyFill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</cellXfs>
  <cellStyles count="1">
    <cellStyle name="Normaali" xfId="0" builtinId="0"/>
  </cellStyles>
  <dxfs count="0"/>
  <tableStyles count="0" defaultTableStyle="TableStyleMedium9" defaultPivotStyle="PivotStyleLight16"/>
  <colors>
    <mruColors>
      <color rgb="FFC78FFF"/>
      <color rgb="FF93FF93"/>
      <color rgb="FFFDFFA7"/>
      <color rgb="FFFFC979"/>
      <color rgb="FFFF5757"/>
      <color rgb="FFDF575A"/>
      <color rgb="FFF6FF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1LK</a:t>
            </a:r>
            <a:r>
              <a:rPr lang="fi-FI" baseline="0"/>
              <a:t> BG Range DMG</a:t>
            </a:r>
            <a:endParaRPr lang="fi-FI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Graphics!$C$4</c:f>
              <c:strCache>
                <c:ptCount val="1"/>
                <c:pt idx="0">
                  <c:v>Flamer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Graphics!$B$5:$B$29</c:f>
              <c:strCache>
                <c:ptCount val="25"/>
                <c:pt idx="0">
                  <c:v>No Armor (0 Resist)</c:v>
                </c:pt>
                <c:pt idx="1">
                  <c:v>2x Toughness</c:v>
                </c:pt>
                <c:pt idx="2">
                  <c:v>Leather Jacket</c:v>
                </c:pt>
                <c:pt idx="3">
                  <c:v>Combat Leather Jacket</c:v>
                </c:pt>
                <c:pt idx="4">
                  <c:v>Leather Armor</c:v>
                </c:pt>
                <c:pt idx="5">
                  <c:v>Leather Armor MK2</c:v>
                </c:pt>
                <c:pt idx="6">
                  <c:v>Metal Armor</c:v>
                </c:pt>
                <c:pt idx="7">
                  <c:v>Metal Armor MK2</c:v>
                </c:pt>
                <c:pt idx="8">
                  <c:v>MAMK2 + Psycho</c:v>
                </c:pt>
                <c:pt idx="9">
                  <c:v>Tesla Armor</c:v>
                </c:pt>
                <c:pt idx="10">
                  <c:v>Combat Armor</c:v>
                </c:pt>
                <c:pt idx="11">
                  <c:v>Combat Armor MK2</c:v>
                </c:pt>
                <c:pt idx="12">
                  <c:v>CAMK2 + Psycho</c:v>
                </c:pt>
                <c:pt idx="13">
                  <c:v>Hubologist´s Robe</c:v>
                </c:pt>
                <c:pt idx="14">
                  <c:v>Brotherhood Armor</c:v>
                </c:pt>
                <c:pt idx="15">
                  <c:v>Desert Combat Armor</c:v>
                </c:pt>
                <c:pt idx="16">
                  <c:v>Enclave Armor</c:v>
                </c:pt>
                <c:pt idx="17">
                  <c:v>Enclave Armor +Psycho</c:v>
                </c:pt>
                <c:pt idx="18">
                  <c:v>Navy Armor</c:v>
                </c:pt>
                <c:pt idx="19">
                  <c:v>Ranger Armor</c:v>
                </c:pt>
                <c:pt idx="20">
                  <c:v>Power Armor</c:v>
                </c:pt>
                <c:pt idx="21">
                  <c:v>Advanced Power Armor</c:v>
                </c:pt>
                <c:pt idx="22">
                  <c:v>Advanced Power Armor MK2</c:v>
                </c:pt>
                <c:pt idx="23">
                  <c:v>APAMK2 + Psycho</c:v>
                </c:pt>
                <c:pt idx="24">
                  <c:v>Robot Armor</c:v>
                </c:pt>
              </c:strCache>
            </c:strRef>
          </c:cat>
          <c:val>
            <c:numRef>
              <c:f>Graphics!$C$5:$C$29</c:f>
              <c:numCache>
                <c:formatCode>0.0</c:formatCode>
                <c:ptCount val="25"/>
                <c:pt idx="0">
                  <c:v>105.29</c:v>
                </c:pt>
                <c:pt idx="1">
                  <c:v>105.29</c:v>
                </c:pt>
                <c:pt idx="2">
                  <c:v>105.29</c:v>
                </c:pt>
                <c:pt idx="3">
                  <c:v>105.29</c:v>
                </c:pt>
                <c:pt idx="4">
                  <c:v>104.74</c:v>
                </c:pt>
                <c:pt idx="5">
                  <c:v>103.75</c:v>
                </c:pt>
                <c:pt idx="6">
                  <c:v>100.27</c:v>
                </c:pt>
                <c:pt idx="7">
                  <c:v>100.27</c:v>
                </c:pt>
                <c:pt idx="8">
                  <c:v>100.27</c:v>
                </c:pt>
                <c:pt idx="9">
                  <c:v>101.27</c:v>
                </c:pt>
                <c:pt idx="10">
                  <c:v>98.2</c:v>
                </c:pt>
                <c:pt idx="11">
                  <c:v>94.74</c:v>
                </c:pt>
                <c:pt idx="12">
                  <c:v>94.74</c:v>
                </c:pt>
                <c:pt idx="13">
                  <c:v>103.75</c:v>
                </c:pt>
                <c:pt idx="14">
                  <c:v>85.71</c:v>
                </c:pt>
                <c:pt idx="15">
                  <c:v>91.38</c:v>
                </c:pt>
                <c:pt idx="16">
                  <c:v>85.71</c:v>
                </c:pt>
                <c:pt idx="17">
                  <c:v>85.71</c:v>
                </c:pt>
                <c:pt idx="18">
                  <c:v>98.2</c:v>
                </c:pt>
                <c:pt idx="19">
                  <c:v>74.430000000000007</c:v>
                </c:pt>
                <c:pt idx="20">
                  <c:v>77.67</c:v>
                </c:pt>
                <c:pt idx="21">
                  <c:v>72.260000000000005</c:v>
                </c:pt>
                <c:pt idx="22">
                  <c:v>71.17</c:v>
                </c:pt>
                <c:pt idx="23">
                  <c:v>71.17</c:v>
                </c:pt>
                <c:pt idx="24">
                  <c:v>70.11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73-47D0-9E62-24A02550FC91}"/>
            </c:ext>
          </c:extLst>
        </c:ser>
        <c:ser>
          <c:idx val="1"/>
          <c:order val="1"/>
          <c:tx>
            <c:strRef>
              <c:f>Graphics!$D$4</c:f>
              <c:strCache>
                <c:ptCount val="1"/>
                <c:pt idx="0">
                  <c:v>M60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Graphics!$B$5:$B$29</c:f>
              <c:strCache>
                <c:ptCount val="25"/>
                <c:pt idx="0">
                  <c:v>No Armor (0 Resist)</c:v>
                </c:pt>
                <c:pt idx="1">
                  <c:v>2x Toughness</c:v>
                </c:pt>
                <c:pt idx="2">
                  <c:v>Leather Jacket</c:v>
                </c:pt>
                <c:pt idx="3">
                  <c:v>Combat Leather Jacket</c:v>
                </c:pt>
                <c:pt idx="4">
                  <c:v>Leather Armor</c:v>
                </c:pt>
                <c:pt idx="5">
                  <c:v>Leather Armor MK2</c:v>
                </c:pt>
                <c:pt idx="6">
                  <c:v>Metal Armor</c:v>
                </c:pt>
                <c:pt idx="7">
                  <c:v>Metal Armor MK2</c:v>
                </c:pt>
                <c:pt idx="8">
                  <c:v>MAMK2 + Psycho</c:v>
                </c:pt>
                <c:pt idx="9">
                  <c:v>Tesla Armor</c:v>
                </c:pt>
                <c:pt idx="10">
                  <c:v>Combat Armor</c:v>
                </c:pt>
                <c:pt idx="11">
                  <c:v>Combat Armor MK2</c:v>
                </c:pt>
                <c:pt idx="12">
                  <c:v>CAMK2 + Psycho</c:v>
                </c:pt>
                <c:pt idx="13">
                  <c:v>Hubologist´s Robe</c:v>
                </c:pt>
                <c:pt idx="14">
                  <c:v>Brotherhood Armor</c:v>
                </c:pt>
                <c:pt idx="15">
                  <c:v>Desert Combat Armor</c:v>
                </c:pt>
                <c:pt idx="16">
                  <c:v>Enclave Armor</c:v>
                </c:pt>
                <c:pt idx="17">
                  <c:v>Enclave Armor +Psycho</c:v>
                </c:pt>
                <c:pt idx="18">
                  <c:v>Navy Armor</c:v>
                </c:pt>
                <c:pt idx="19">
                  <c:v>Ranger Armor</c:v>
                </c:pt>
                <c:pt idx="20">
                  <c:v>Power Armor</c:v>
                </c:pt>
                <c:pt idx="21">
                  <c:v>Advanced Power Armor</c:v>
                </c:pt>
                <c:pt idx="22">
                  <c:v>Advanced Power Armor MK2</c:v>
                </c:pt>
                <c:pt idx="23">
                  <c:v>APAMK2 + Psycho</c:v>
                </c:pt>
                <c:pt idx="24">
                  <c:v>Robot Armor</c:v>
                </c:pt>
              </c:strCache>
            </c:strRef>
          </c:cat>
          <c:val>
            <c:numRef>
              <c:f>Graphics!$D$5:$D$29</c:f>
              <c:numCache>
                <c:formatCode>0.0</c:formatCode>
                <c:ptCount val="25"/>
                <c:pt idx="0">
                  <c:v>115.82</c:v>
                </c:pt>
                <c:pt idx="1">
                  <c:v>114.66</c:v>
                </c:pt>
                <c:pt idx="2">
                  <c:v>85.7</c:v>
                </c:pt>
                <c:pt idx="3">
                  <c:v>79.91</c:v>
                </c:pt>
                <c:pt idx="4">
                  <c:v>73.25</c:v>
                </c:pt>
                <c:pt idx="5">
                  <c:v>69.91</c:v>
                </c:pt>
                <c:pt idx="6">
                  <c:v>66.59</c:v>
                </c:pt>
                <c:pt idx="7">
                  <c:v>61.77</c:v>
                </c:pt>
                <c:pt idx="8">
                  <c:v>42.47</c:v>
                </c:pt>
                <c:pt idx="9">
                  <c:v>71.42</c:v>
                </c:pt>
                <c:pt idx="10">
                  <c:v>54.1</c:v>
                </c:pt>
                <c:pt idx="11">
                  <c:v>51.25</c:v>
                </c:pt>
                <c:pt idx="12">
                  <c:v>33.880000000000003</c:v>
                </c:pt>
                <c:pt idx="13">
                  <c:v>74.989999999999995</c:v>
                </c:pt>
                <c:pt idx="14">
                  <c:v>45.55</c:v>
                </c:pt>
                <c:pt idx="15">
                  <c:v>51.25</c:v>
                </c:pt>
                <c:pt idx="16">
                  <c:v>45.55</c:v>
                </c:pt>
                <c:pt idx="17">
                  <c:v>30.11</c:v>
                </c:pt>
                <c:pt idx="18">
                  <c:v>54.1</c:v>
                </c:pt>
                <c:pt idx="19">
                  <c:v>54.1</c:v>
                </c:pt>
                <c:pt idx="20">
                  <c:v>34.17</c:v>
                </c:pt>
                <c:pt idx="21">
                  <c:v>26.01</c:v>
                </c:pt>
                <c:pt idx="22">
                  <c:v>19.11</c:v>
                </c:pt>
                <c:pt idx="23">
                  <c:v>10.86</c:v>
                </c:pt>
                <c:pt idx="24">
                  <c:v>4.83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73-47D0-9E62-24A02550FC91}"/>
            </c:ext>
          </c:extLst>
        </c:ser>
        <c:ser>
          <c:idx val="2"/>
          <c:order val="2"/>
          <c:tx>
            <c:strRef>
              <c:f>Graphics!$E$4</c:f>
              <c:strCache>
                <c:ptCount val="1"/>
                <c:pt idx="0">
                  <c:v>Minigun (AP)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Graphics!$B$5:$B$29</c:f>
              <c:strCache>
                <c:ptCount val="25"/>
                <c:pt idx="0">
                  <c:v>No Armor (0 Resist)</c:v>
                </c:pt>
                <c:pt idx="1">
                  <c:v>2x Toughness</c:v>
                </c:pt>
                <c:pt idx="2">
                  <c:v>Leather Jacket</c:v>
                </c:pt>
                <c:pt idx="3">
                  <c:v>Combat Leather Jacket</c:v>
                </c:pt>
                <c:pt idx="4">
                  <c:v>Leather Armor</c:v>
                </c:pt>
                <c:pt idx="5">
                  <c:v>Leather Armor MK2</c:v>
                </c:pt>
                <c:pt idx="6">
                  <c:v>Metal Armor</c:v>
                </c:pt>
                <c:pt idx="7">
                  <c:v>Metal Armor MK2</c:v>
                </c:pt>
                <c:pt idx="8">
                  <c:v>MAMK2 + Psycho</c:v>
                </c:pt>
                <c:pt idx="9">
                  <c:v>Tesla Armor</c:v>
                </c:pt>
                <c:pt idx="10">
                  <c:v>Combat Armor</c:v>
                </c:pt>
                <c:pt idx="11">
                  <c:v>Combat Armor MK2</c:v>
                </c:pt>
                <c:pt idx="12">
                  <c:v>CAMK2 + Psycho</c:v>
                </c:pt>
                <c:pt idx="13">
                  <c:v>Hubologist´s Robe</c:v>
                </c:pt>
                <c:pt idx="14">
                  <c:v>Brotherhood Armor</c:v>
                </c:pt>
                <c:pt idx="15">
                  <c:v>Desert Combat Armor</c:v>
                </c:pt>
                <c:pt idx="16">
                  <c:v>Enclave Armor</c:v>
                </c:pt>
                <c:pt idx="17">
                  <c:v>Enclave Armor +Psycho</c:v>
                </c:pt>
                <c:pt idx="18">
                  <c:v>Navy Armor</c:v>
                </c:pt>
                <c:pt idx="19">
                  <c:v>Ranger Armor</c:v>
                </c:pt>
                <c:pt idx="20">
                  <c:v>Power Armor</c:v>
                </c:pt>
                <c:pt idx="21">
                  <c:v>Advanced Power Armor</c:v>
                </c:pt>
                <c:pt idx="22">
                  <c:v>Advanced Power Armor MK2</c:v>
                </c:pt>
                <c:pt idx="23">
                  <c:v>APAMK2 + Psycho</c:v>
                </c:pt>
                <c:pt idx="24">
                  <c:v>Robot Armor</c:v>
                </c:pt>
              </c:strCache>
            </c:strRef>
          </c:cat>
          <c:val>
            <c:numRef>
              <c:f>Graphics!$E$5:$E$29</c:f>
              <c:numCache>
                <c:formatCode>0.0</c:formatCode>
                <c:ptCount val="25"/>
                <c:pt idx="0">
                  <c:v>83.78</c:v>
                </c:pt>
                <c:pt idx="1">
                  <c:v>83.78</c:v>
                </c:pt>
                <c:pt idx="2">
                  <c:v>78.75</c:v>
                </c:pt>
                <c:pt idx="3">
                  <c:v>74.56</c:v>
                </c:pt>
                <c:pt idx="4">
                  <c:v>74.56</c:v>
                </c:pt>
                <c:pt idx="5">
                  <c:v>68.599999999999994</c:v>
                </c:pt>
                <c:pt idx="6">
                  <c:v>68.599999999999994</c:v>
                </c:pt>
                <c:pt idx="7">
                  <c:v>64.739999999999995</c:v>
                </c:pt>
                <c:pt idx="8">
                  <c:v>49.33</c:v>
                </c:pt>
                <c:pt idx="9">
                  <c:v>72.45</c:v>
                </c:pt>
                <c:pt idx="10">
                  <c:v>60.89</c:v>
                </c:pt>
                <c:pt idx="11">
                  <c:v>55.6</c:v>
                </c:pt>
                <c:pt idx="12">
                  <c:v>41.52</c:v>
                </c:pt>
                <c:pt idx="13">
                  <c:v>72.45</c:v>
                </c:pt>
                <c:pt idx="14">
                  <c:v>55.6</c:v>
                </c:pt>
                <c:pt idx="15">
                  <c:v>55.6</c:v>
                </c:pt>
                <c:pt idx="16">
                  <c:v>55.6</c:v>
                </c:pt>
                <c:pt idx="17">
                  <c:v>41.52</c:v>
                </c:pt>
                <c:pt idx="18">
                  <c:v>60.89</c:v>
                </c:pt>
                <c:pt idx="19">
                  <c:v>60.89</c:v>
                </c:pt>
                <c:pt idx="20">
                  <c:v>45.01</c:v>
                </c:pt>
                <c:pt idx="21">
                  <c:v>39.31</c:v>
                </c:pt>
                <c:pt idx="22">
                  <c:v>32.17</c:v>
                </c:pt>
                <c:pt idx="23">
                  <c:v>22.62</c:v>
                </c:pt>
                <c:pt idx="24">
                  <c:v>19.600000000000001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73-47D0-9E62-24A02550FC91}"/>
            </c:ext>
          </c:extLst>
        </c:ser>
        <c:ser>
          <c:idx val="3"/>
          <c:order val="3"/>
          <c:tx>
            <c:strRef>
              <c:f>Graphics!$F$4</c:f>
              <c:strCache>
                <c:ptCount val="1"/>
                <c:pt idx="0">
                  <c:v>Improved Flamer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Graphics!$B$5:$B$29</c:f>
              <c:strCache>
                <c:ptCount val="25"/>
                <c:pt idx="0">
                  <c:v>No Armor (0 Resist)</c:v>
                </c:pt>
                <c:pt idx="1">
                  <c:v>2x Toughness</c:v>
                </c:pt>
                <c:pt idx="2">
                  <c:v>Leather Jacket</c:v>
                </c:pt>
                <c:pt idx="3">
                  <c:v>Combat Leather Jacket</c:v>
                </c:pt>
                <c:pt idx="4">
                  <c:v>Leather Armor</c:v>
                </c:pt>
                <c:pt idx="5">
                  <c:v>Leather Armor MK2</c:v>
                </c:pt>
                <c:pt idx="6">
                  <c:v>Metal Armor</c:v>
                </c:pt>
                <c:pt idx="7">
                  <c:v>Metal Armor MK2</c:v>
                </c:pt>
                <c:pt idx="8">
                  <c:v>MAMK2 + Psycho</c:v>
                </c:pt>
                <c:pt idx="9">
                  <c:v>Tesla Armor</c:v>
                </c:pt>
                <c:pt idx="10">
                  <c:v>Combat Armor</c:v>
                </c:pt>
                <c:pt idx="11">
                  <c:v>Combat Armor MK2</c:v>
                </c:pt>
                <c:pt idx="12">
                  <c:v>CAMK2 + Psycho</c:v>
                </c:pt>
                <c:pt idx="13">
                  <c:v>Hubologist´s Robe</c:v>
                </c:pt>
                <c:pt idx="14">
                  <c:v>Brotherhood Armor</c:v>
                </c:pt>
                <c:pt idx="15">
                  <c:v>Desert Combat Armor</c:v>
                </c:pt>
                <c:pt idx="16">
                  <c:v>Enclave Armor</c:v>
                </c:pt>
                <c:pt idx="17">
                  <c:v>Enclave Armor +Psycho</c:v>
                </c:pt>
                <c:pt idx="18">
                  <c:v>Navy Armor</c:v>
                </c:pt>
                <c:pt idx="19">
                  <c:v>Ranger Armor</c:v>
                </c:pt>
                <c:pt idx="20">
                  <c:v>Power Armor</c:v>
                </c:pt>
                <c:pt idx="21">
                  <c:v>Advanced Power Armor</c:v>
                </c:pt>
                <c:pt idx="22">
                  <c:v>Advanced Power Armor MK2</c:v>
                </c:pt>
                <c:pt idx="23">
                  <c:v>APAMK2 + Psycho</c:v>
                </c:pt>
                <c:pt idx="24">
                  <c:v>Robot Armor</c:v>
                </c:pt>
              </c:strCache>
            </c:strRef>
          </c:cat>
          <c:val>
            <c:numRef>
              <c:f>Graphics!$F$5:$F$29</c:f>
              <c:numCache>
                <c:formatCode>0.0</c:formatCode>
                <c:ptCount val="25"/>
                <c:pt idx="0">
                  <c:v>155.56</c:v>
                </c:pt>
                <c:pt idx="1">
                  <c:v>155.56</c:v>
                </c:pt>
                <c:pt idx="2">
                  <c:v>155.56</c:v>
                </c:pt>
                <c:pt idx="3">
                  <c:v>155.56</c:v>
                </c:pt>
                <c:pt idx="4">
                  <c:v>154.51</c:v>
                </c:pt>
                <c:pt idx="5">
                  <c:v>153.51</c:v>
                </c:pt>
                <c:pt idx="6">
                  <c:v>150.54</c:v>
                </c:pt>
                <c:pt idx="7">
                  <c:v>150.54</c:v>
                </c:pt>
                <c:pt idx="8">
                  <c:v>150.54</c:v>
                </c:pt>
                <c:pt idx="9">
                  <c:v>151.54</c:v>
                </c:pt>
                <c:pt idx="10">
                  <c:v>145.44999999999999</c:v>
                </c:pt>
                <c:pt idx="11">
                  <c:v>139.47999999999999</c:v>
                </c:pt>
                <c:pt idx="12">
                  <c:v>139.47999999999999</c:v>
                </c:pt>
                <c:pt idx="13">
                  <c:v>153.51</c:v>
                </c:pt>
                <c:pt idx="14">
                  <c:v>122.91</c:v>
                </c:pt>
                <c:pt idx="15">
                  <c:v>133.6</c:v>
                </c:pt>
                <c:pt idx="16">
                  <c:v>122.91</c:v>
                </c:pt>
                <c:pt idx="17">
                  <c:v>122.91</c:v>
                </c:pt>
                <c:pt idx="18">
                  <c:v>145.44999999999999</c:v>
                </c:pt>
                <c:pt idx="19">
                  <c:v>101.57</c:v>
                </c:pt>
                <c:pt idx="20">
                  <c:v>109.84</c:v>
                </c:pt>
                <c:pt idx="21">
                  <c:v>99.4</c:v>
                </c:pt>
                <c:pt idx="22">
                  <c:v>98.32</c:v>
                </c:pt>
                <c:pt idx="23">
                  <c:v>98.32</c:v>
                </c:pt>
                <c:pt idx="24">
                  <c:v>95.24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73-47D0-9E62-24A02550FC91}"/>
            </c:ext>
          </c:extLst>
        </c:ser>
        <c:ser>
          <c:idx val="4"/>
          <c:order val="4"/>
          <c:tx>
            <c:strRef>
              <c:f>Graphics!$G$4</c:f>
              <c:strCache>
                <c:ptCount val="1"/>
                <c:pt idx="0">
                  <c:v>Rocket Launcher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Graphics!$B$5:$B$29</c:f>
              <c:strCache>
                <c:ptCount val="25"/>
                <c:pt idx="0">
                  <c:v>No Armor (0 Resist)</c:v>
                </c:pt>
                <c:pt idx="1">
                  <c:v>2x Toughness</c:v>
                </c:pt>
                <c:pt idx="2">
                  <c:v>Leather Jacket</c:v>
                </c:pt>
                <c:pt idx="3">
                  <c:v>Combat Leather Jacket</c:v>
                </c:pt>
                <c:pt idx="4">
                  <c:v>Leather Armor</c:v>
                </c:pt>
                <c:pt idx="5">
                  <c:v>Leather Armor MK2</c:v>
                </c:pt>
                <c:pt idx="6">
                  <c:v>Metal Armor</c:v>
                </c:pt>
                <c:pt idx="7">
                  <c:v>Metal Armor MK2</c:v>
                </c:pt>
                <c:pt idx="8">
                  <c:v>MAMK2 + Psycho</c:v>
                </c:pt>
                <c:pt idx="9">
                  <c:v>Tesla Armor</c:v>
                </c:pt>
                <c:pt idx="10">
                  <c:v>Combat Armor</c:v>
                </c:pt>
                <c:pt idx="11">
                  <c:v>Combat Armor MK2</c:v>
                </c:pt>
                <c:pt idx="12">
                  <c:v>CAMK2 + Psycho</c:v>
                </c:pt>
                <c:pt idx="13">
                  <c:v>Hubologist´s Robe</c:v>
                </c:pt>
                <c:pt idx="14">
                  <c:v>Brotherhood Armor</c:v>
                </c:pt>
                <c:pt idx="15">
                  <c:v>Desert Combat Armor</c:v>
                </c:pt>
                <c:pt idx="16">
                  <c:v>Enclave Armor</c:v>
                </c:pt>
                <c:pt idx="17">
                  <c:v>Enclave Armor +Psycho</c:v>
                </c:pt>
                <c:pt idx="18">
                  <c:v>Navy Armor</c:v>
                </c:pt>
                <c:pt idx="19">
                  <c:v>Ranger Armor</c:v>
                </c:pt>
                <c:pt idx="20">
                  <c:v>Power Armor</c:v>
                </c:pt>
                <c:pt idx="21">
                  <c:v>Advanced Power Armor</c:v>
                </c:pt>
                <c:pt idx="22">
                  <c:v>Advanced Power Armor MK2</c:v>
                </c:pt>
                <c:pt idx="23">
                  <c:v>APAMK2 + Psycho</c:v>
                </c:pt>
                <c:pt idx="24">
                  <c:v>Robot Armor</c:v>
                </c:pt>
              </c:strCache>
            </c:strRef>
          </c:cat>
          <c:val>
            <c:numRef>
              <c:f>Graphics!$G$5:$G$29</c:f>
              <c:numCache>
                <c:formatCode>0.0</c:formatCode>
                <c:ptCount val="25"/>
                <c:pt idx="0">
                  <c:v>90.48</c:v>
                </c:pt>
                <c:pt idx="1">
                  <c:v>90.48</c:v>
                </c:pt>
                <c:pt idx="2">
                  <c:v>89.58</c:v>
                </c:pt>
                <c:pt idx="3">
                  <c:v>89.58</c:v>
                </c:pt>
                <c:pt idx="4">
                  <c:v>85.05</c:v>
                </c:pt>
                <c:pt idx="5">
                  <c:v>80.53</c:v>
                </c:pt>
                <c:pt idx="6">
                  <c:v>75.16</c:v>
                </c:pt>
                <c:pt idx="7">
                  <c:v>69.89</c:v>
                </c:pt>
                <c:pt idx="8">
                  <c:v>69.89</c:v>
                </c:pt>
                <c:pt idx="9">
                  <c:v>84.11</c:v>
                </c:pt>
                <c:pt idx="10">
                  <c:v>65.47</c:v>
                </c:pt>
                <c:pt idx="11">
                  <c:v>60.35</c:v>
                </c:pt>
                <c:pt idx="12">
                  <c:v>60.35</c:v>
                </c:pt>
                <c:pt idx="13">
                  <c:v>80.53</c:v>
                </c:pt>
                <c:pt idx="14">
                  <c:v>65.47</c:v>
                </c:pt>
                <c:pt idx="15">
                  <c:v>60.35</c:v>
                </c:pt>
                <c:pt idx="16">
                  <c:v>65.47</c:v>
                </c:pt>
                <c:pt idx="17">
                  <c:v>65.47</c:v>
                </c:pt>
                <c:pt idx="18">
                  <c:v>65.47</c:v>
                </c:pt>
                <c:pt idx="19">
                  <c:v>47.23</c:v>
                </c:pt>
                <c:pt idx="20">
                  <c:v>54.05</c:v>
                </c:pt>
                <c:pt idx="21">
                  <c:v>45.6</c:v>
                </c:pt>
                <c:pt idx="22">
                  <c:v>41.38</c:v>
                </c:pt>
                <c:pt idx="23">
                  <c:v>41.38</c:v>
                </c:pt>
                <c:pt idx="24">
                  <c:v>33.78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873-47D0-9E62-24A02550FC91}"/>
            </c:ext>
          </c:extLst>
        </c:ser>
        <c:ser>
          <c:idx val="5"/>
          <c:order val="5"/>
          <c:tx>
            <c:strRef>
              <c:f>Graphics!$H$4</c:f>
              <c:strCache>
                <c:ptCount val="1"/>
                <c:pt idx="0">
                  <c:v>Light Support Weapon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Graphics!$B$5:$B$29</c:f>
              <c:strCache>
                <c:ptCount val="25"/>
                <c:pt idx="0">
                  <c:v>No Armor (0 Resist)</c:v>
                </c:pt>
                <c:pt idx="1">
                  <c:v>2x Toughness</c:v>
                </c:pt>
                <c:pt idx="2">
                  <c:v>Leather Jacket</c:v>
                </c:pt>
                <c:pt idx="3">
                  <c:v>Combat Leather Jacket</c:v>
                </c:pt>
                <c:pt idx="4">
                  <c:v>Leather Armor</c:v>
                </c:pt>
                <c:pt idx="5">
                  <c:v>Leather Armor MK2</c:v>
                </c:pt>
                <c:pt idx="6">
                  <c:v>Metal Armor</c:v>
                </c:pt>
                <c:pt idx="7">
                  <c:v>Metal Armor MK2</c:v>
                </c:pt>
                <c:pt idx="8">
                  <c:v>MAMK2 + Psycho</c:v>
                </c:pt>
                <c:pt idx="9">
                  <c:v>Tesla Armor</c:v>
                </c:pt>
                <c:pt idx="10">
                  <c:v>Combat Armor</c:v>
                </c:pt>
                <c:pt idx="11">
                  <c:v>Combat Armor MK2</c:v>
                </c:pt>
                <c:pt idx="12">
                  <c:v>CAMK2 + Psycho</c:v>
                </c:pt>
                <c:pt idx="13">
                  <c:v>Hubologist´s Robe</c:v>
                </c:pt>
                <c:pt idx="14">
                  <c:v>Brotherhood Armor</c:v>
                </c:pt>
                <c:pt idx="15">
                  <c:v>Desert Combat Armor</c:v>
                </c:pt>
                <c:pt idx="16">
                  <c:v>Enclave Armor</c:v>
                </c:pt>
                <c:pt idx="17">
                  <c:v>Enclave Armor +Psycho</c:v>
                </c:pt>
                <c:pt idx="18">
                  <c:v>Navy Armor</c:v>
                </c:pt>
                <c:pt idx="19">
                  <c:v>Ranger Armor</c:v>
                </c:pt>
                <c:pt idx="20">
                  <c:v>Power Armor</c:v>
                </c:pt>
                <c:pt idx="21">
                  <c:v>Advanced Power Armor</c:v>
                </c:pt>
                <c:pt idx="22">
                  <c:v>Advanced Power Armor MK2</c:v>
                </c:pt>
                <c:pt idx="23">
                  <c:v>APAMK2 + Psycho</c:v>
                </c:pt>
                <c:pt idx="24">
                  <c:v>Robot Armor</c:v>
                </c:pt>
              </c:strCache>
            </c:strRef>
          </c:cat>
          <c:val>
            <c:numRef>
              <c:f>Graphics!$H$5:$H$29</c:f>
              <c:numCache>
                <c:formatCode>0.0</c:formatCode>
                <c:ptCount val="25"/>
                <c:pt idx="0">
                  <c:v>148.79</c:v>
                </c:pt>
                <c:pt idx="1">
                  <c:v>148.79</c:v>
                </c:pt>
                <c:pt idx="2">
                  <c:v>132.41999999999999</c:v>
                </c:pt>
                <c:pt idx="3">
                  <c:v>124.99</c:v>
                </c:pt>
                <c:pt idx="4">
                  <c:v>118.23</c:v>
                </c:pt>
                <c:pt idx="5">
                  <c:v>114.85</c:v>
                </c:pt>
                <c:pt idx="6">
                  <c:v>111.47</c:v>
                </c:pt>
                <c:pt idx="7">
                  <c:v>104.84</c:v>
                </c:pt>
                <c:pt idx="8">
                  <c:v>78.3</c:v>
                </c:pt>
                <c:pt idx="9">
                  <c:v>118.11</c:v>
                </c:pt>
                <c:pt idx="10">
                  <c:v>95.23</c:v>
                </c:pt>
                <c:pt idx="11">
                  <c:v>92.25</c:v>
                </c:pt>
                <c:pt idx="12">
                  <c:v>67.319999999999993</c:v>
                </c:pt>
                <c:pt idx="13">
                  <c:v>121.69</c:v>
                </c:pt>
                <c:pt idx="14">
                  <c:v>86.3</c:v>
                </c:pt>
                <c:pt idx="15">
                  <c:v>92.25</c:v>
                </c:pt>
                <c:pt idx="16">
                  <c:v>86.3</c:v>
                </c:pt>
                <c:pt idx="17">
                  <c:v>62.98</c:v>
                </c:pt>
                <c:pt idx="18">
                  <c:v>95.23</c:v>
                </c:pt>
                <c:pt idx="19">
                  <c:v>95.23</c:v>
                </c:pt>
                <c:pt idx="20">
                  <c:v>74.400000000000006</c:v>
                </c:pt>
                <c:pt idx="21">
                  <c:v>61.77</c:v>
                </c:pt>
                <c:pt idx="22">
                  <c:v>53.2</c:v>
                </c:pt>
                <c:pt idx="23">
                  <c:v>35.39</c:v>
                </c:pt>
                <c:pt idx="24">
                  <c:v>27.35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873-47D0-9E62-24A02550FC91}"/>
            </c:ext>
          </c:extLst>
        </c:ser>
        <c:ser>
          <c:idx val="6"/>
          <c:order val="6"/>
          <c:tx>
            <c:strRef>
              <c:f>Graphics!$I$4</c:f>
              <c:strCache>
                <c:ptCount val="1"/>
                <c:pt idx="0">
                  <c:v>Avenger Minigun (AP)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Graphics!$B$5:$B$29</c:f>
              <c:strCache>
                <c:ptCount val="25"/>
                <c:pt idx="0">
                  <c:v>No Armor (0 Resist)</c:v>
                </c:pt>
                <c:pt idx="1">
                  <c:v>2x Toughness</c:v>
                </c:pt>
                <c:pt idx="2">
                  <c:v>Leather Jacket</c:v>
                </c:pt>
                <c:pt idx="3">
                  <c:v>Combat Leather Jacket</c:v>
                </c:pt>
                <c:pt idx="4">
                  <c:v>Leather Armor</c:v>
                </c:pt>
                <c:pt idx="5">
                  <c:v>Leather Armor MK2</c:v>
                </c:pt>
                <c:pt idx="6">
                  <c:v>Metal Armor</c:v>
                </c:pt>
                <c:pt idx="7">
                  <c:v>Metal Armor MK2</c:v>
                </c:pt>
                <c:pt idx="8">
                  <c:v>MAMK2 + Psycho</c:v>
                </c:pt>
                <c:pt idx="9">
                  <c:v>Tesla Armor</c:v>
                </c:pt>
                <c:pt idx="10">
                  <c:v>Combat Armor</c:v>
                </c:pt>
                <c:pt idx="11">
                  <c:v>Combat Armor MK2</c:v>
                </c:pt>
                <c:pt idx="12">
                  <c:v>CAMK2 + Psycho</c:v>
                </c:pt>
                <c:pt idx="13">
                  <c:v>Hubologist´s Robe</c:v>
                </c:pt>
                <c:pt idx="14">
                  <c:v>Brotherhood Armor</c:v>
                </c:pt>
                <c:pt idx="15">
                  <c:v>Desert Combat Armor</c:v>
                </c:pt>
                <c:pt idx="16">
                  <c:v>Enclave Armor</c:v>
                </c:pt>
                <c:pt idx="17">
                  <c:v>Enclave Armor +Psycho</c:v>
                </c:pt>
                <c:pt idx="18">
                  <c:v>Navy Armor</c:v>
                </c:pt>
                <c:pt idx="19">
                  <c:v>Ranger Armor</c:v>
                </c:pt>
                <c:pt idx="20">
                  <c:v>Power Armor</c:v>
                </c:pt>
                <c:pt idx="21">
                  <c:v>Advanced Power Armor</c:v>
                </c:pt>
                <c:pt idx="22">
                  <c:v>Advanced Power Armor MK2</c:v>
                </c:pt>
                <c:pt idx="23">
                  <c:v>APAMK2 + Psycho</c:v>
                </c:pt>
                <c:pt idx="24">
                  <c:v>Robot Armor</c:v>
                </c:pt>
              </c:strCache>
            </c:strRef>
          </c:cat>
          <c:val>
            <c:numRef>
              <c:f>Graphics!$I$5:$I$29</c:f>
              <c:numCache>
                <c:formatCode>0.0</c:formatCode>
                <c:ptCount val="25"/>
                <c:pt idx="0">
                  <c:v>126.67</c:v>
                </c:pt>
                <c:pt idx="1">
                  <c:v>126.67</c:v>
                </c:pt>
                <c:pt idx="2">
                  <c:v>119.07</c:v>
                </c:pt>
                <c:pt idx="3">
                  <c:v>112.74</c:v>
                </c:pt>
                <c:pt idx="4">
                  <c:v>112.7</c:v>
                </c:pt>
                <c:pt idx="5">
                  <c:v>104.39</c:v>
                </c:pt>
                <c:pt idx="6">
                  <c:v>104.4</c:v>
                </c:pt>
                <c:pt idx="7">
                  <c:v>98.52</c:v>
                </c:pt>
                <c:pt idx="8">
                  <c:v>75.069999999999993</c:v>
                </c:pt>
                <c:pt idx="9">
                  <c:v>110.25</c:v>
                </c:pt>
                <c:pt idx="10">
                  <c:v>92.66</c:v>
                </c:pt>
                <c:pt idx="11">
                  <c:v>85.25</c:v>
                </c:pt>
                <c:pt idx="12">
                  <c:v>63.67</c:v>
                </c:pt>
                <c:pt idx="13">
                  <c:v>110.25</c:v>
                </c:pt>
                <c:pt idx="14">
                  <c:v>85.25</c:v>
                </c:pt>
                <c:pt idx="15">
                  <c:v>85.25</c:v>
                </c:pt>
                <c:pt idx="16">
                  <c:v>85.25</c:v>
                </c:pt>
                <c:pt idx="17">
                  <c:v>53.67</c:v>
                </c:pt>
                <c:pt idx="18">
                  <c:v>92.66</c:v>
                </c:pt>
                <c:pt idx="19">
                  <c:v>92.66</c:v>
                </c:pt>
                <c:pt idx="20">
                  <c:v>70.42</c:v>
                </c:pt>
                <c:pt idx="21">
                  <c:v>61.51</c:v>
                </c:pt>
                <c:pt idx="22">
                  <c:v>51.04</c:v>
                </c:pt>
                <c:pt idx="23">
                  <c:v>35.89</c:v>
                </c:pt>
                <c:pt idx="24">
                  <c:v>31.67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873-47D0-9E62-24A02550FC91}"/>
            </c:ext>
          </c:extLst>
        </c:ser>
        <c:ser>
          <c:idx val="7"/>
          <c:order val="7"/>
          <c:tx>
            <c:strRef>
              <c:f>Graphics!$J$4</c:f>
              <c:strCache>
                <c:ptCount val="1"/>
                <c:pt idx="0">
                  <c:v>Avenger Minigun (JHP)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Graphics!$B$5:$B$29</c:f>
              <c:strCache>
                <c:ptCount val="25"/>
                <c:pt idx="0">
                  <c:v>No Armor (0 Resist)</c:v>
                </c:pt>
                <c:pt idx="1">
                  <c:v>2x Toughness</c:v>
                </c:pt>
                <c:pt idx="2">
                  <c:v>Leather Jacket</c:v>
                </c:pt>
                <c:pt idx="3">
                  <c:v>Combat Leather Jacket</c:v>
                </c:pt>
                <c:pt idx="4">
                  <c:v>Leather Armor</c:v>
                </c:pt>
                <c:pt idx="5">
                  <c:v>Leather Armor MK2</c:v>
                </c:pt>
                <c:pt idx="6">
                  <c:v>Metal Armor</c:v>
                </c:pt>
                <c:pt idx="7">
                  <c:v>Metal Armor MK2</c:v>
                </c:pt>
                <c:pt idx="8">
                  <c:v>MAMK2 + Psycho</c:v>
                </c:pt>
                <c:pt idx="9">
                  <c:v>Tesla Armor</c:v>
                </c:pt>
                <c:pt idx="10">
                  <c:v>Combat Armor</c:v>
                </c:pt>
                <c:pt idx="11">
                  <c:v>Combat Armor MK2</c:v>
                </c:pt>
                <c:pt idx="12">
                  <c:v>CAMK2 + Psycho</c:v>
                </c:pt>
                <c:pt idx="13">
                  <c:v>Hubologist´s Robe</c:v>
                </c:pt>
                <c:pt idx="14">
                  <c:v>Brotherhood Armor</c:v>
                </c:pt>
                <c:pt idx="15">
                  <c:v>Desert Combat Armor</c:v>
                </c:pt>
                <c:pt idx="16">
                  <c:v>Enclave Armor</c:v>
                </c:pt>
                <c:pt idx="17">
                  <c:v>Enclave Armor +Psycho</c:v>
                </c:pt>
                <c:pt idx="18">
                  <c:v>Navy Armor</c:v>
                </c:pt>
                <c:pt idx="19">
                  <c:v>Ranger Armor</c:v>
                </c:pt>
                <c:pt idx="20">
                  <c:v>Power Armor</c:v>
                </c:pt>
                <c:pt idx="21">
                  <c:v>Advanced Power Armor</c:v>
                </c:pt>
                <c:pt idx="22">
                  <c:v>Advanced Power Armor MK2</c:v>
                </c:pt>
                <c:pt idx="23">
                  <c:v>APAMK2 + Psycho</c:v>
                </c:pt>
                <c:pt idx="24">
                  <c:v>Robot Armor</c:v>
                </c:pt>
              </c:strCache>
            </c:strRef>
          </c:cat>
          <c:val>
            <c:numRef>
              <c:f>Graphics!$J$5:$J$29</c:f>
              <c:numCache>
                <c:formatCode>0.0</c:formatCode>
                <c:ptCount val="25"/>
                <c:pt idx="0">
                  <c:v>228.01</c:v>
                </c:pt>
                <c:pt idx="1">
                  <c:v>167.21</c:v>
                </c:pt>
                <c:pt idx="2">
                  <c:v>72.2</c:v>
                </c:pt>
                <c:pt idx="3">
                  <c:v>53.2</c:v>
                </c:pt>
                <c:pt idx="4">
                  <c:v>45.32</c:v>
                </c:pt>
                <c:pt idx="5">
                  <c:v>41.38</c:v>
                </c:pt>
                <c:pt idx="6">
                  <c:v>37.44</c:v>
                </c:pt>
                <c:pt idx="7">
                  <c:v>24.07</c:v>
                </c:pt>
                <c:pt idx="8">
                  <c:v>0</c:v>
                </c:pt>
                <c:pt idx="9">
                  <c:v>50.81</c:v>
                </c:pt>
                <c:pt idx="10">
                  <c:v>9.57</c:v>
                </c:pt>
                <c:pt idx="11">
                  <c:v>8.44</c:v>
                </c:pt>
                <c:pt idx="12">
                  <c:v>0</c:v>
                </c:pt>
                <c:pt idx="13">
                  <c:v>56.16</c:v>
                </c:pt>
                <c:pt idx="14">
                  <c:v>6.19</c:v>
                </c:pt>
                <c:pt idx="15">
                  <c:v>8.44</c:v>
                </c:pt>
                <c:pt idx="16">
                  <c:v>6.19</c:v>
                </c:pt>
                <c:pt idx="17">
                  <c:v>0</c:v>
                </c:pt>
                <c:pt idx="18">
                  <c:v>9.57</c:v>
                </c:pt>
                <c:pt idx="19">
                  <c:v>9.57</c:v>
                </c:pt>
                <c:pt idx="20">
                  <c:v>1.69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873-47D0-9E62-24A02550FC91}"/>
            </c:ext>
          </c:extLst>
        </c:ser>
        <c:ser>
          <c:idx val="8"/>
          <c:order val="8"/>
          <c:tx>
            <c:strRef>
              <c:f>Graphics!$K$4</c:f>
              <c:strCache>
                <c:ptCount val="1"/>
                <c:pt idx="0">
                  <c:v>Bozar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Graphics!$B$5:$B$29</c:f>
              <c:strCache>
                <c:ptCount val="25"/>
                <c:pt idx="0">
                  <c:v>No Armor (0 Resist)</c:v>
                </c:pt>
                <c:pt idx="1">
                  <c:v>2x Toughness</c:v>
                </c:pt>
                <c:pt idx="2">
                  <c:v>Leather Jacket</c:v>
                </c:pt>
                <c:pt idx="3">
                  <c:v>Combat Leather Jacket</c:v>
                </c:pt>
                <c:pt idx="4">
                  <c:v>Leather Armor</c:v>
                </c:pt>
                <c:pt idx="5">
                  <c:v>Leather Armor MK2</c:v>
                </c:pt>
                <c:pt idx="6">
                  <c:v>Metal Armor</c:v>
                </c:pt>
                <c:pt idx="7">
                  <c:v>Metal Armor MK2</c:v>
                </c:pt>
                <c:pt idx="8">
                  <c:v>MAMK2 + Psycho</c:v>
                </c:pt>
                <c:pt idx="9">
                  <c:v>Tesla Armor</c:v>
                </c:pt>
                <c:pt idx="10">
                  <c:v>Combat Armor</c:v>
                </c:pt>
                <c:pt idx="11">
                  <c:v>Combat Armor MK2</c:v>
                </c:pt>
                <c:pt idx="12">
                  <c:v>CAMK2 + Psycho</c:v>
                </c:pt>
                <c:pt idx="13">
                  <c:v>Hubologist´s Robe</c:v>
                </c:pt>
                <c:pt idx="14">
                  <c:v>Brotherhood Armor</c:v>
                </c:pt>
                <c:pt idx="15">
                  <c:v>Desert Combat Armor</c:v>
                </c:pt>
                <c:pt idx="16">
                  <c:v>Enclave Armor</c:v>
                </c:pt>
                <c:pt idx="17">
                  <c:v>Enclave Armor +Psycho</c:v>
                </c:pt>
                <c:pt idx="18">
                  <c:v>Navy Armor</c:v>
                </c:pt>
                <c:pt idx="19">
                  <c:v>Ranger Armor</c:v>
                </c:pt>
                <c:pt idx="20">
                  <c:v>Power Armor</c:v>
                </c:pt>
                <c:pt idx="21">
                  <c:v>Advanced Power Armor</c:v>
                </c:pt>
                <c:pt idx="22">
                  <c:v>Advanced Power Armor MK2</c:v>
                </c:pt>
                <c:pt idx="23">
                  <c:v>APAMK2 + Psycho</c:v>
                </c:pt>
                <c:pt idx="24">
                  <c:v>Robot Armor</c:v>
                </c:pt>
              </c:strCache>
            </c:strRef>
          </c:cat>
          <c:val>
            <c:numRef>
              <c:f>Graphics!$K$5:$K$29</c:f>
              <c:numCache>
                <c:formatCode>0.0</c:formatCode>
                <c:ptCount val="25"/>
                <c:pt idx="0">
                  <c:v>249.33</c:v>
                </c:pt>
                <c:pt idx="1">
                  <c:v>249.33</c:v>
                </c:pt>
                <c:pt idx="2">
                  <c:v>221.9</c:v>
                </c:pt>
                <c:pt idx="3">
                  <c:v>209.43</c:v>
                </c:pt>
                <c:pt idx="4">
                  <c:v>195.92</c:v>
                </c:pt>
                <c:pt idx="5">
                  <c:v>189.17</c:v>
                </c:pt>
                <c:pt idx="6">
                  <c:v>182.41</c:v>
                </c:pt>
                <c:pt idx="7">
                  <c:v>171.55</c:v>
                </c:pt>
                <c:pt idx="8">
                  <c:v>128.12</c:v>
                </c:pt>
                <c:pt idx="9">
                  <c:v>193.27</c:v>
                </c:pt>
                <c:pt idx="10">
                  <c:v>154.74</c:v>
                </c:pt>
                <c:pt idx="11">
                  <c:v>148.79</c:v>
                </c:pt>
                <c:pt idx="12">
                  <c:v>108.58</c:v>
                </c:pt>
                <c:pt idx="13">
                  <c:v>200.43</c:v>
                </c:pt>
                <c:pt idx="14">
                  <c:v>136.88999999999999</c:v>
                </c:pt>
                <c:pt idx="15">
                  <c:v>148.79</c:v>
                </c:pt>
                <c:pt idx="16">
                  <c:v>136.88999999999999</c:v>
                </c:pt>
                <c:pt idx="17">
                  <c:v>99.89</c:v>
                </c:pt>
                <c:pt idx="18">
                  <c:v>154.74</c:v>
                </c:pt>
                <c:pt idx="19">
                  <c:v>154.74</c:v>
                </c:pt>
                <c:pt idx="20">
                  <c:v>113.08</c:v>
                </c:pt>
                <c:pt idx="21">
                  <c:v>92.65</c:v>
                </c:pt>
                <c:pt idx="22">
                  <c:v>75.92</c:v>
                </c:pt>
                <c:pt idx="23">
                  <c:v>51.47</c:v>
                </c:pt>
                <c:pt idx="24">
                  <c:v>35.39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873-47D0-9E62-24A02550FC91}"/>
            </c:ext>
          </c:extLst>
        </c:ser>
        <c:ser>
          <c:idx val="9"/>
          <c:order val="9"/>
          <c:tx>
            <c:strRef>
              <c:f>Graphics!$L$4</c:f>
              <c:strCache>
                <c:ptCount val="1"/>
                <c:pt idx="0">
                  <c:v>Vindicator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Graphics!$B$5:$B$29</c:f>
              <c:strCache>
                <c:ptCount val="25"/>
                <c:pt idx="0">
                  <c:v>No Armor (0 Resist)</c:v>
                </c:pt>
                <c:pt idx="1">
                  <c:v>2x Toughness</c:v>
                </c:pt>
                <c:pt idx="2">
                  <c:v>Leather Jacket</c:v>
                </c:pt>
                <c:pt idx="3">
                  <c:v>Combat Leather Jacket</c:v>
                </c:pt>
                <c:pt idx="4">
                  <c:v>Leather Armor</c:v>
                </c:pt>
                <c:pt idx="5">
                  <c:v>Leather Armor MK2</c:v>
                </c:pt>
                <c:pt idx="6">
                  <c:v>Metal Armor</c:v>
                </c:pt>
                <c:pt idx="7">
                  <c:v>Metal Armor MK2</c:v>
                </c:pt>
                <c:pt idx="8">
                  <c:v>MAMK2 + Psycho</c:v>
                </c:pt>
                <c:pt idx="9">
                  <c:v>Tesla Armor</c:v>
                </c:pt>
                <c:pt idx="10">
                  <c:v>Combat Armor</c:v>
                </c:pt>
                <c:pt idx="11">
                  <c:v>Combat Armor MK2</c:v>
                </c:pt>
                <c:pt idx="12">
                  <c:v>CAMK2 + Psycho</c:v>
                </c:pt>
                <c:pt idx="13">
                  <c:v>Hubologist´s Robe</c:v>
                </c:pt>
                <c:pt idx="14">
                  <c:v>Brotherhood Armor</c:v>
                </c:pt>
                <c:pt idx="15">
                  <c:v>Desert Combat Armor</c:v>
                </c:pt>
                <c:pt idx="16">
                  <c:v>Enclave Armor</c:v>
                </c:pt>
                <c:pt idx="17">
                  <c:v>Enclave Armor +Psycho</c:v>
                </c:pt>
                <c:pt idx="18">
                  <c:v>Navy Armor</c:v>
                </c:pt>
                <c:pt idx="19">
                  <c:v>Ranger Armor</c:v>
                </c:pt>
                <c:pt idx="20">
                  <c:v>Power Armor</c:v>
                </c:pt>
                <c:pt idx="21">
                  <c:v>Advanced Power Armor</c:v>
                </c:pt>
                <c:pt idx="22">
                  <c:v>Advanced Power Armor MK2</c:v>
                </c:pt>
                <c:pt idx="23">
                  <c:v>APAMK2 + Psycho</c:v>
                </c:pt>
                <c:pt idx="24">
                  <c:v>Robot Armor</c:v>
                </c:pt>
              </c:strCache>
            </c:strRef>
          </c:cat>
          <c:val>
            <c:numRef>
              <c:f>Graphics!$L$5:$L$29</c:f>
              <c:numCache>
                <c:formatCode>0.0</c:formatCode>
                <c:ptCount val="25"/>
                <c:pt idx="0">
                  <c:v>223.94</c:v>
                </c:pt>
                <c:pt idx="1">
                  <c:v>223.94</c:v>
                </c:pt>
                <c:pt idx="2">
                  <c:v>176.91</c:v>
                </c:pt>
                <c:pt idx="3">
                  <c:v>165.72</c:v>
                </c:pt>
                <c:pt idx="4">
                  <c:v>165.7</c:v>
                </c:pt>
                <c:pt idx="5">
                  <c:v>155.66999999999999</c:v>
                </c:pt>
                <c:pt idx="6">
                  <c:v>155.66999999999999</c:v>
                </c:pt>
                <c:pt idx="7">
                  <c:v>145.15</c:v>
                </c:pt>
                <c:pt idx="8">
                  <c:v>103.08</c:v>
                </c:pt>
                <c:pt idx="9">
                  <c:v>166.19</c:v>
                </c:pt>
                <c:pt idx="10">
                  <c:v>134.63999999999999</c:v>
                </c:pt>
                <c:pt idx="11">
                  <c:v>125.95</c:v>
                </c:pt>
                <c:pt idx="12">
                  <c:v>86.59</c:v>
                </c:pt>
                <c:pt idx="13">
                  <c:v>166.19</c:v>
                </c:pt>
                <c:pt idx="14">
                  <c:v>125.95</c:v>
                </c:pt>
                <c:pt idx="15">
                  <c:v>125.95</c:v>
                </c:pt>
                <c:pt idx="16">
                  <c:v>125.95</c:v>
                </c:pt>
                <c:pt idx="17">
                  <c:v>86.59</c:v>
                </c:pt>
                <c:pt idx="18">
                  <c:v>134.63999999999999</c:v>
                </c:pt>
                <c:pt idx="19">
                  <c:v>134.63999999999999</c:v>
                </c:pt>
                <c:pt idx="20">
                  <c:v>108.58</c:v>
                </c:pt>
                <c:pt idx="21">
                  <c:v>91.61</c:v>
                </c:pt>
                <c:pt idx="22">
                  <c:v>76.48</c:v>
                </c:pt>
                <c:pt idx="23">
                  <c:v>46.82</c:v>
                </c:pt>
                <c:pt idx="24">
                  <c:v>42.75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873-47D0-9E62-24A02550F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917048"/>
        <c:axId val="368919344"/>
      </c:lineChart>
      <c:catAx>
        <c:axId val="368917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cross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68919344"/>
        <c:crosses val="autoZero"/>
        <c:auto val="1"/>
        <c:lblAlgn val="ctr"/>
        <c:lblOffset val="100"/>
        <c:tickLblSkip val="1"/>
        <c:noMultiLvlLbl val="0"/>
      </c:catAx>
      <c:valAx>
        <c:axId val="368919344"/>
        <c:scaling>
          <c:orientation val="minMax"/>
          <c:max val="2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6891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600075</xdr:colOff>
      <xdr:row>1</xdr:row>
      <xdr:rowOff>0</xdr:rowOff>
    </xdr:from>
    <xdr:to>
      <xdr:col>25</xdr:col>
      <xdr:colOff>666750</xdr:colOff>
      <xdr:row>24</xdr:row>
      <xdr:rowOff>47625</xdr:rowOff>
    </xdr:to>
    <xdr:pic>
      <xdr:nvPicPr>
        <xdr:cNvPr id="3" name="Kuva 2" descr="Critical table.png">
          <a:extLst>
            <a:ext uri="{FF2B5EF4-FFF2-40B4-BE49-F238E27FC236}">
              <a16:creationId xmlns:a16="http://schemas.microsoft.com/office/drawing/2014/main" id="{1B48A7D3-C4A7-4DFD-976E-A9BB6B893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0" y="190500"/>
          <a:ext cx="8477250" cy="450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28575</xdr:colOff>
      <xdr:row>26</xdr:row>
      <xdr:rowOff>9525</xdr:rowOff>
    </xdr:from>
    <xdr:to>
      <xdr:col>23</xdr:col>
      <xdr:colOff>638175</xdr:colOff>
      <xdr:row>31</xdr:row>
      <xdr:rowOff>76200</xdr:rowOff>
    </xdr:to>
    <xdr:pic>
      <xdr:nvPicPr>
        <xdr:cNvPr id="4" name="Kuva 3" descr="MeuwEz7.png">
          <a:extLst>
            <a:ext uri="{FF2B5EF4-FFF2-40B4-BE49-F238E27FC236}">
              <a16:creationId xmlns:a16="http://schemas.microsoft.com/office/drawing/2014/main" id="{E9153E69-5009-49CC-9D2C-8476B1DF3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5000625"/>
          <a:ext cx="6724650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419100</xdr:colOff>
      <xdr:row>1</xdr:row>
      <xdr:rowOff>0</xdr:rowOff>
    </xdr:from>
    <xdr:to>
      <xdr:col>25</xdr:col>
      <xdr:colOff>485775</xdr:colOff>
      <xdr:row>24</xdr:row>
      <xdr:rowOff>47625</xdr:rowOff>
    </xdr:to>
    <xdr:pic>
      <xdr:nvPicPr>
        <xdr:cNvPr id="5" name="Kuva 4" descr="Critical table.png">
          <a:extLst>
            <a:ext uri="{FF2B5EF4-FFF2-40B4-BE49-F238E27FC236}">
              <a16:creationId xmlns:a16="http://schemas.microsoft.com/office/drawing/2014/main" id="{19374143-E1A9-4013-99CC-308BE70E4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0" y="190500"/>
          <a:ext cx="8477250" cy="450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485775</xdr:colOff>
      <xdr:row>185</xdr:row>
      <xdr:rowOff>28576</xdr:rowOff>
    </xdr:from>
    <xdr:to>
      <xdr:col>20</xdr:col>
      <xdr:colOff>390525</xdr:colOff>
      <xdr:row>204</xdr:row>
      <xdr:rowOff>84206</xdr:rowOff>
    </xdr:to>
    <xdr:pic>
      <xdr:nvPicPr>
        <xdr:cNvPr id="6" name="Kuva 5" descr="Critical table.png">
          <a:extLst>
            <a:ext uri="{FF2B5EF4-FFF2-40B4-BE49-F238E27FC236}">
              <a16:creationId xmlns:a16="http://schemas.microsoft.com/office/drawing/2014/main" id="{5B6CAAB3-2B29-4B52-A281-B6F0DD74C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35347276"/>
          <a:ext cx="6915150" cy="3675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1771649</xdr:colOff>
      <xdr:row>29</xdr:row>
      <xdr:rowOff>171449</xdr:rowOff>
    </xdr:from>
    <xdr:to>
      <xdr:col>12</xdr:col>
      <xdr:colOff>609599</xdr:colOff>
      <xdr:row>63</xdr:row>
      <xdr:rowOff>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CED131AF-18A1-4082-ACED-035C49BB9F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229"/>
  <sheetViews>
    <sheetView tabSelected="1" zoomScaleNormal="100" workbookViewId="0">
      <selection activeCell="H38" sqref="H38"/>
    </sheetView>
  </sheetViews>
  <sheetFormatPr defaultRowHeight="15" x14ac:dyDescent="0.25"/>
  <cols>
    <col min="1" max="1" width="9.140625" style="12"/>
    <col min="2" max="2" width="30.140625" style="12" bestFit="1" customWidth="1"/>
    <col min="3" max="3" width="23.28515625" style="12" bestFit="1" customWidth="1"/>
    <col min="4" max="5" width="14.85546875" style="12" bestFit="1" customWidth="1"/>
    <col min="6" max="6" width="13.7109375" style="12" bestFit="1" customWidth="1"/>
    <col min="7" max="7" width="14.42578125" style="12" bestFit="1" customWidth="1"/>
    <col min="8" max="8" width="23" style="12" bestFit="1" customWidth="1"/>
    <col min="9" max="9" width="16" style="12" bestFit="1" customWidth="1"/>
    <col min="10" max="10" width="11.85546875" style="12" customWidth="1"/>
    <col min="11" max="11" width="14.28515625" style="12" bestFit="1" customWidth="1"/>
    <col min="12" max="12" width="12.85546875" style="12" bestFit="1" customWidth="1"/>
    <col min="13" max="13" width="23" style="12" bestFit="1" customWidth="1"/>
    <col min="14" max="14" width="10.85546875" style="12" bestFit="1" customWidth="1"/>
    <col min="15" max="15" width="14.42578125" style="12" bestFit="1" customWidth="1"/>
    <col min="16" max="16" width="11.28515625" style="12" bestFit="1" customWidth="1"/>
    <col min="17" max="16384" width="9.140625" style="12"/>
  </cols>
  <sheetData>
    <row r="1" spans="2:14" s="218" customFormat="1" x14ac:dyDescent="0.25">
      <c r="B1" s="209" t="s">
        <v>363</v>
      </c>
    </row>
    <row r="2" spans="2:14" s="218" customFormat="1" x14ac:dyDescent="0.25">
      <c r="B2" s="209"/>
    </row>
    <row r="3" spans="2:14" s="218" customFormat="1" ht="27" thickBot="1" x14ac:dyDescent="0.3">
      <c r="B3" s="202" t="s">
        <v>361</v>
      </c>
      <c r="F3" s="12"/>
    </row>
    <row r="4" spans="2:14" s="218" customFormat="1" x14ac:dyDescent="0.25">
      <c r="B4" s="205" t="s">
        <v>413</v>
      </c>
      <c r="C4" s="206"/>
      <c r="D4" s="206"/>
      <c r="E4" s="206"/>
      <c r="F4" s="201"/>
    </row>
    <row r="5" spans="2:14" s="218" customFormat="1" ht="17.25" customHeight="1" x14ac:dyDescent="0.25">
      <c r="B5" s="357" t="s">
        <v>412</v>
      </c>
      <c r="C5" s="358"/>
      <c r="D5" s="358"/>
      <c r="E5" s="358"/>
      <c r="F5" s="200"/>
    </row>
    <row r="6" spans="2:14" s="218" customFormat="1" x14ac:dyDescent="0.25">
      <c r="B6" s="207" t="s">
        <v>408</v>
      </c>
      <c r="C6" s="217"/>
      <c r="D6" s="217"/>
      <c r="E6" s="217"/>
      <c r="F6" s="203"/>
    </row>
    <row r="7" spans="2:14" ht="15.75" thickBot="1" x14ac:dyDescent="0.3">
      <c r="B7" s="275" t="s">
        <v>409</v>
      </c>
      <c r="C7" s="208"/>
      <c r="D7" s="208"/>
      <c r="E7" s="208"/>
      <c r="F7" s="204"/>
    </row>
    <row r="9" spans="2:14" ht="21.75" thickBot="1" x14ac:dyDescent="0.3">
      <c r="C9" s="199" t="s">
        <v>411</v>
      </c>
    </row>
    <row r="10" spans="2:14" ht="15.75" customHeight="1" thickTop="1" thickBot="1" x14ac:dyDescent="0.3">
      <c r="B10" s="257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9"/>
    </row>
    <row r="11" spans="2:14" ht="15.75" thickBot="1" x14ac:dyDescent="0.3">
      <c r="B11" s="367" t="s">
        <v>250</v>
      </c>
      <c r="C11" s="368"/>
      <c r="D11" s="369" t="s">
        <v>255</v>
      </c>
      <c r="E11" s="369"/>
      <c r="F11" s="369"/>
      <c r="G11" s="368"/>
      <c r="H11" s="220"/>
      <c r="I11" s="220"/>
      <c r="J11" s="220"/>
      <c r="K11" s="220"/>
      <c r="L11" s="220"/>
      <c r="M11" s="220"/>
      <c r="N11" s="260"/>
    </row>
    <row r="12" spans="2:14" ht="15.75" thickBot="1" x14ac:dyDescent="0.3">
      <c r="B12" s="276" t="s">
        <v>47</v>
      </c>
      <c r="C12" s="126" t="s">
        <v>48</v>
      </c>
      <c r="D12" s="126" t="s">
        <v>251</v>
      </c>
      <c r="E12" s="126" t="s">
        <v>252</v>
      </c>
      <c r="F12" s="126" t="s">
        <v>253</v>
      </c>
      <c r="G12" s="126" t="s">
        <v>254</v>
      </c>
      <c r="H12" s="220"/>
      <c r="I12" s="220"/>
      <c r="J12" s="220"/>
      <c r="K12" s="220"/>
      <c r="L12" s="220"/>
      <c r="M12" s="220"/>
      <c r="N12" s="260"/>
    </row>
    <row r="13" spans="2:14" x14ac:dyDescent="0.25">
      <c r="B13" s="266" t="s">
        <v>29</v>
      </c>
      <c r="C13" s="127" t="s">
        <v>119</v>
      </c>
      <c r="D13" s="127">
        <v>0</v>
      </c>
      <c r="E13" s="127">
        <v>0</v>
      </c>
      <c r="F13" s="127">
        <v>0</v>
      </c>
      <c r="G13" s="127">
        <v>0</v>
      </c>
      <c r="H13" s="220"/>
      <c r="I13" s="220"/>
      <c r="J13" s="220"/>
      <c r="K13" s="220"/>
      <c r="L13" s="220"/>
      <c r="M13" s="220"/>
      <c r="N13" s="260"/>
    </row>
    <row r="14" spans="2:14" ht="15.75" thickBot="1" x14ac:dyDescent="0.3">
      <c r="B14" s="263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60"/>
    </row>
    <row r="15" spans="2:14" ht="15.75" thickBot="1" x14ac:dyDescent="0.3">
      <c r="B15" s="367" t="s">
        <v>256</v>
      </c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72"/>
    </row>
    <row r="16" spans="2:14" x14ac:dyDescent="0.25">
      <c r="B16" s="261" t="s">
        <v>52</v>
      </c>
      <c r="C16" s="130" t="s">
        <v>221</v>
      </c>
      <c r="D16" s="130" t="s">
        <v>222</v>
      </c>
      <c r="E16" s="130" t="s">
        <v>219</v>
      </c>
      <c r="F16" s="130" t="s">
        <v>49</v>
      </c>
      <c r="G16" s="130" t="s">
        <v>236</v>
      </c>
      <c r="H16" s="130" t="s">
        <v>235</v>
      </c>
      <c r="I16" s="130" t="s">
        <v>237</v>
      </c>
      <c r="J16" s="130" t="s">
        <v>230</v>
      </c>
      <c r="K16" s="130" t="s">
        <v>231</v>
      </c>
      <c r="L16" s="130" t="s">
        <v>232</v>
      </c>
      <c r="M16" s="130" t="s">
        <v>233</v>
      </c>
      <c r="N16" s="277" t="s">
        <v>234</v>
      </c>
    </row>
    <row r="17" spans="2:18" ht="15.75" thickBot="1" x14ac:dyDescent="0.3">
      <c r="B17" s="274">
        <v>10</v>
      </c>
      <c r="C17" s="278">
        <v>2</v>
      </c>
      <c r="D17" s="278" t="s">
        <v>209</v>
      </c>
      <c r="E17" s="278" t="s">
        <v>209</v>
      </c>
      <c r="F17" s="278" t="s">
        <v>213</v>
      </c>
      <c r="G17" s="278" t="s">
        <v>210</v>
      </c>
      <c r="H17" s="278">
        <v>0</v>
      </c>
      <c r="I17" s="278" t="s">
        <v>210</v>
      </c>
      <c r="J17" s="278" t="s">
        <v>288</v>
      </c>
      <c r="K17" s="278" t="s">
        <v>210</v>
      </c>
      <c r="L17" s="278" t="s">
        <v>210</v>
      </c>
      <c r="M17" s="278" t="s">
        <v>210</v>
      </c>
      <c r="N17" s="279" t="s">
        <v>210</v>
      </c>
    </row>
    <row r="18" spans="2:18" ht="16.5" thickTop="1" thickBot="1" x14ac:dyDescent="0.3"/>
    <row r="19" spans="2:18" ht="15.75" thickBot="1" x14ac:dyDescent="0.3">
      <c r="B19" s="374" t="s">
        <v>257</v>
      </c>
      <c r="C19" s="375"/>
      <c r="D19" s="375"/>
      <c r="E19" s="375"/>
      <c r="F19" s="375"/>
      <c r="G19" s="376"/>
      <c r="H19" s="133" t="s">
        <v>293</v>
      </c>
      <c r="I19" s="374" t="s">
        <v>281</v>
      </c>
      <c r="J19" s="375"/>
      <c r="K19" s="375"/>
      <c r="L19" s="376"/>
      <c r="M19" s="179" t="s">
        <v>285</v>
      </c>
      <c r="N19" s="347" t="s">
        <v>47</v>
      </c>
    </row>
    <row r="20" spans="2:18" ht="15.75" thickBot="1" x14ac:dyDescent="0.3">
      <c r="B20" s="130" t="s">
        <v>224</v>
      </c>
      <c r="C20" s="130" t="s">
        <v>225</v>
      </c>
      <c r="D20" s="130" t="s">
        <v>226</v>
      </c>
      <c r="E20" s="130" t="s">
        <v>227</v>
      </c>
      <c r="F20" s="130" t="s">
        <v>228</v>
      </c>
      <c r="G20" s="188" t="s">
        <v>279</v>
      </c>
      <c r="H20" s="187" t="s">
        <v>289</v>
      </c>
      <c r="I20" s="130" t="s">
        <v>262</v>
      </c>
      <c r="J20" s="130" t="s">
        <v>263</v>
      </c>
      <c r="K20" s="130" t="s">
        <v>357</v>
      </c>
      <c r="L20" s="130" t="s">
        <v>358</v>
      </c>
      <c r="M20" s="126" t="s">
        <v>284</v>
      </c>
      <c r="N20" s="126" t="s">
        <v>371</v>
      </c>
    </row>
    <row r="21" spans="2:18" x14ac:dyDescent="0.25">
      <c r="B21" s="17">
        <f>IF((B17+8*C17+IF(E17="yes",3)+IF(F17="Marksman",4)+IF(J17="yes",10)+F13+IF(B13="Super Sledge",10)+IF(M17="yes",-30,0))&gt;0,(B17+8*C17+IF(E17="yes",3)+IF(F17="Marksman",4)+IF(J17="yes",10)+F13+IF(B13="Super Sledge",10)+IF(M17="yes",-30,0)),0)</f>
        <v>33</v>
      </c>
      <c r="C21" s="17">
        <f>IF(('CRIT TABLES'!C28+8*C17+IF(E17="yes",3)+IF(F17="Marksman",4)+IF(J17="yes",10)+F13+IF(B13="Super Sledge",10)+IF(M17="yes",-30,0))&lt;=95,('CRIT TABLES'!C28+8*C17+IF(E17="yes",3)+IF(F17="Marksman",4)+IF(J17="yes",10)+F13+IF(B13="Super Sledge",10)+IF(M17="yes",-30,0)),95)</f>
        <v>93</v>
      </c>
      <c r="D21" s="17">
        <f>IF(('CRIT TABLES'!D28+8*C17+IF(E17="yes",3)+IF(F17="Marksman",4)+IF(J17="yes",10)+F13+IF(B13="Super Sledge",10)+IF(M17="yes",-30,0))&lt;=95,('CRIT TABLES'!D28+8*C17+IF(E17="yes",3)+IF(F17="Marksman",4)+IF(J17="yes",10)+F13+IF(B13="Super Sledge",10)+IF(M17="yes",-30,0)),95)</f>
        <v>73</v>
      </c>
      <c r="E21" s="17">
        <f>'CRIT TABLES'!E28+8*C17+IF(E17="yes",3)+IF(F17="Marksman",4)+IF(J17="yes",10)+F13+IF(B13="Super Sledge",10)+IF(M17="yes",-30,0)</f>
        <v>63</v>
      </c>
      <c r="F21" s="17">
        <f>'CRIT TABLES'!F28+8*C17+IF(E17="yes",3)+IF(F17="Marksman",4)+IF(J17="yes",10)+F13+IF(B13="Super Sledge",10)+IF(M17="yes",-30,0)</f>
        <v>63</v>
      </c>
      <c r="G21" s="186">
        <f>'CRIT TABLES'!G28+8*C17+IF(E17="yes",3)+IF(F17="Marksman",4)+IF(J17="yes",10)+F13+IF(B13="Super Sledge",10)+IF(M17="yes",-30,0)</f>
        <v>53</v>
      </c>
      <c r="H21" s="17">
        <f>G13+IF(D17="Yes",20)+IF(F17="Marksman",4)+IF($B$13="Hunting Rifle",4) +IF($B$13="Scoped Hunting Rifle",4)+ +IF($B$13="Assault Rifle",4) +IF($B$13="Assault Rifle (Exp. Mag.)",4) +IF($B$13=".223 Pistol",4) +IF($B$13="Sniper Rifle",4) +IF($B$13="PPK12 Gauss Pistol",4) +IF($B$13="M72 Gauss Rifle",4)+IF($B$13="Plasma Rifle",8)+IF($B$13="Alien Blaster",8)+IF($B$13="Turbo Plasma Rifle",16) +IF($B$13="YK42B Pulse Rifle",8)+IF($B$13="Mega Power Fist",10)+IF($B$13="Super Sledge",10)+IF($B$13="Little Jesus",8)</f>
        <v>28</v>
      </c>
      <c r="I21" s="17">
        <f>+IF($F$17="Medical",5,0)+IF($G$17="Yes",5,0)+IF($K$17="yes",5,0)+IF($L$17="yes",5,0)</f>
        <v>0</v>
      </c>
      <c r="J21" s="17">
        <f>+IF($F$17="Medical",5,0)+IF($G$17="Yes",5,0)+IF($L$17="yes",5,0)</f>
        <v>0</v>
      </c>
      <c r="K21" s="17">
        <f>IF(WEAPONS!B4=B13,I21,IF(WEAPONS!B6=B13,I21,IF(WEAPONS!B11=B13,I21,IF(WEAPONS!B12=B13,I21,IF(WEAPONS!B13=B13,I21,IF(WEAPONS!B14=B13,I21,IF(WEAPONS!B15=B13,I21,IF(WEAPONS!B16=B13,I21,IF(WEAPONS!B21=B13,I21,IF(WEAPONS!B22=B13,I21,IF(WEAPONS!B23=B13,I21,IF(WEAPONS!B28=B13,I21,IF(WEAPONS!B29=B13,I21,IF(WEAPONS!B35=B13,I21,IF(WEAPONS!B46=B13,I21,IF(WEAPONS!B47=B13,I21,IF(WEAPONS!B48=B13,I21,IF(WEAPONS!B49=B13,I21,IF(WEAPONS!B50=B13,I21,IF(WEAPONS!B51=B13,I21,IF(WEAPONS!B54=B13,I21,IF(WEAPONS!B55=B13,I21,IF(WEAPONS!B100=B13,I21,IF(WEAPONS!B101=B13,I21,IF(WEAPONS!B102=B13,I21,J21)))))))))))))))))))))))))+L21</f>
        <v>0</v>
      </c>
      <c r="L21" s="17">
        <f>IF(I17="yes",50,0)</f>
        <v>0</v>
      </c>
      <c r="M21" s="127" t="str">
        <f>IF($B$13="14mm Pistol","Yes",IF($B$13="Needler Pistol","Yes",IF($B$13=".223 Pistol","Yes",IF($B$13=".223 Pistol","Yes",IF($B$13="Magneto-Laser Pistol","Yes",IF($B$13="YK32 Pulse Pistol","Yes",IF($B$13="YK42B Pulse Rifle","Yes",IF($B$13="Plasma Gatling","Yes",IF($C$13="14mm AP","Yes",IF($C$13="Rocket AP","Yes",IF($C$13="5mm AP","Yes",IF($C$13="10mm AP","Yes",IF($C$13="HN AP Needler Cartridge","Yes",IF($C$13="4.7mm Caseless","Yes","No"))))))))))))))</f>
        <v>No</v>
      </c>
      <c r="N21" s="127">
        <f>IF(WEAPONS!B4=B13,WEAPONS!Q4,IF(WEAPONS!B5=B13,WEAPONS!Q5,IF(WEAPONS!B6=B13,WEAPONS!Q6,IF(WEAPONS!B7=B13,WEAPONS!Q7,IF(WEAPONS!B8=B13,WEAPONS!Q8,IF(WEAPONS!B9=B13,WEAPONS!Q9,IF(WEAPONS!B10=B13,WEAPONS!Q10,IF(WEAPONS!B11=B13,WEAPONS!Q11,IF(WEAPONS!B12=B13,WEAPONS!Q12,IF(WEAPONS!B13=B13,WEAPONS!Q13,IF(WEAPONS!B14=B13,WEAPONS!Q14,IF(WEAPONS!B15=B13,WEAPONS!Q15,IF(WEAPONS!B16=B13,WEAPONS!Q16,IF(WEAPONS!B18=B13,WEAPONS!Q18,IF(WEAPONS!B19=B13,WEAPONS!Q19,IF(WEAPONS!B20=B13,WEAPONS!Q20,IF(WEAPONS!B21=B13,WEAPONS!Q21,IF(WEAPONS!B22=B13,WEAPONS!Q22,IF(WEAPONS!B23=B13,WEAPONS!Q23,IF(WEAPONS!B24=B13,WEAPONS!Q24,IF(WEAPONS!B25=B13,WEAPONS!Q25,IF(WEAPONS!B26=B13,WEAPONS!Q26,IF(WEAPONS!Q28=B13,WEAPONS!Q28,IF(WEAPONS!B29=B13,WEAPONS!Q29,IF(WEAPONS!B30=B13,WEAPONS!Q30,IF(WEAPONS!B31=B13,WEAPONS!Q31,IF(WEAPONS!B32=B13,WEAPONS!Q32,IF(WEAPONS!B33=B13,WEAPONS!Q33,IF(WEAPONS!B35=B13,WEAPONS!Q35,IF(WEAPONS!B36=B13,WEAPONS!Q36,IF(WEAPONS!B38=B13,WEAPONS!Q38,IF(WEAPONS!B39=B13,WEAPONS!Q39,IF(WEAPONS!B43=B13,WEAPONS!Q43,IF(WEAPONS!B45=B13,WEAPONS!Q45,IF(WEAPONS!B46=B13,WEAPONS!Q46,IF(WEAPONS!B47=B13,WEAPONS!Q47,IF(WEAPONS!B48=B13,WEAPONS!Q48,IF(WEAPONS!B49=B13,WEAPONS!Q49,IF(WEAPONS!B50=B13,WEAPONS!Q50,IF(WEAPONS!B54=B13,WEAPONS!Q54,IF(WEAPONS!B55=B13,WEAPONS!Q55,6)))))))))))))))))))))))))))))))))))))))))</f>
        <v>5</v>
      </c>
    </row>
    <row r="22" spans="2:18" ht="15.75" thickBot="1" x14ac:dyDescent="0.3"/>
    <row r="23" spans="2:18" ht="15.75" thickBot="1" x14ac:dyDescent="0.3">
      <c r="B23" s="374" t="s">
        <v>296</v>
      </c>
      <c r="C23" s="375"/>
      <c r="D23" s="374" t="s">
        <v>297</v>
      </c>
      <c r="E23" s="376"/>
      <c r="F23" s="374" t="s">
        <v>298</v>
      </c>
      <c r="G23" s="375"/>
      <c r="H23" s="370" t="s">
        <v>301</v>
      </c>
      <c r="I23" s="371"/>
      <c r="J23" s="370" t="s">
        <v>304</v>
      </c>
      <c r="K23" s="371"/>
      <c r="L23" s="370" t="s">
        <v>350</v>
      </c>
      <c r="M23" s="371"/>
    </row>
    <row r="24" spans="2:18" x14ac:dyDescent="0.25">
      <c r="B24" s="130" t="s">
        <v>292</v>
      </c>
      <c r="C24" s="130" t="s">
        <v>252</v>
      </c>
      <c r="D24" s="130" t="s">
        <v>292</v>
      </c>
      <c r="E24" s="130" t="s">
        <v>252</v>
      </c>
      <c r="F24" s="130" t="s">
        <v>292</v>
      </c>
      <c r="G24" s="188" t="s">
        <v>252</v>
      </c>
      <c r="H24" s="130" t="s">
        <v>144</v>
      </c>
      <c r="I24" s="130" t="s">
        <v>302</v>
      </c>
      <c r="J24" s="130" t="s">
        <v>305</v>
      </c>
      <c r="K24" s="130" t="s">
        <v>306</v>
      </c>
      <c r="L24" s="130" t="s">
        <v>305</v>
      </c>
      <c r="M24" s="130" t="s">
        <v>306</v>
      </c>
    </row>
    <row r="25" spans="2:18" x14ac:dyDescent="0.25">
      <c r="B25" s="17">
        <f>IF((WEAPONS!B142)="No Burst Weapon","No Burst Weapon",((WEAPONS!B142)+D13+H17*2))</f>
        <v>0</v>
      </c>
      <c r="C25" s="17">
        <f>IF((WEAPONS!B145)="No Burst Weapon","No Burst Weapon",((WEAPONS!B145)+E13+H17*2))</f>
        <v>0</v>
      </c>
      <c r="D25" s="17">
        <f>IF((WEAPONS!B151)="No Single Shots","No Single Shots",((WEAPONS!B151)+D13+H17*2))</f>
        <v>20</v>
      </c>
      <c r="E25" s="17">
        <f>IF((WEAPONS!B154)="No Single Shots","No Single Shots",((WEAPONS!B154)+E13+H17*2))</f>
        <v>40</v>
      </c>
      <c r="F25" s="17" t="str">
        <f>IF((WEAPONS!B158)="No Meelee","No Meelee",((WEAPONS!B158)+D13))</f>
        <v>No Meelee</v>
      </c>
      <c r="G25" s="186" t="str">
        <f>IF((WEAPONS!B161)="No Meelee","No Meelee",((WEAPONS!B161)+E13))</f>
        <v>No Meelee</v>
      </c>
      <c r="H25" s="189">
        <f>IF(C13="10mm JHP",2,IF(C13="5mm JHP",2,IF(C13="5mm AP",2/3,IF(C13=".44 Magnum JHP",3,IF(C13="7.62mm",12/10,IF(C13="4.7mm Caseless",3/2,IF(C13="2mm EC",3/2,IF(C13="HN AP Needler Cartridge",2,1))))))))</f>
        <v>1</v>
      </c>
      <c r="I25" s="17">
        <f>IF(C13=".223 FMJ",-30,IF(C13="10mm JHP",30,IF(C13="10mm AP",-35,IF(C13="5mm JHP",40,IF(C13="5mm AP",-35,IF(C13=".44 Magnum JHP",50,IF(C13=".44 Magnum FMJ",-20,IF(C13="7.62mm",-15,IF(C13="Flamethrower Fuel MKII",-40,IF(C13="9mm Ball",-15,IF(C13="14mm AP",-50,IF(C13="Rocket AP",-30,IF(C13="Slug Shells",-35,IF(C13="4.7mm Caseless",-20,IF(C13="2mm EC",-20,IF(C13=".50 Caliber",-30,IF(B13="Gatling Laser",-30,0)))))))))))))))))</f>
        <v>-30</v>
      </c>
      <c r="J25" s="17">
        <f>WEAPONS!V4</f>
        <v>1</v>
      </c>
      <c r="K25" s="17">
        <f>WEAPONS!W4</f>
        <v>1</v>
      </c>
      <c r="L25" s="194">
        <f>J25*(B21*(100-D33)/100)/100</f>
        <v>0.3135</v>
      </c>
      <c r="M25" s="194">
        <f>K25*(B21*(100-D33)/100/100)</f>
        <v>0.3135</v>
      </c>
    </row>
    <row r="27" spans="2:18" ht="15.75" thickBot="1" x14ac:dyDescent="0.3">
      <c r="I27" s="373" t="s">
        <v>362</v>
      </c>
      <c r="J27" s="373"/>
      <c r="K27" s="373"/>
      <c r="L27" s="373"/>
      <c r="M27" s="373"/>
    </row>
    <row r="28" spans="2:18" ht="15.75" thickBot="1" x14ac:dyDescent="0.3">
      <c r="G28" s="364" t="s">
        <v>356</v>
      </c>
      <c r="H28" s="363"/>
      <c r="I28" s="179" t="s">
        <v>355</v>
      </c>
      <c r="J28" s="364" t="s">
        <v>352</v>
      </c>
      <c r="K28" s="363"/>
      <c r="L28" s="364" t="s">
        <v>353</v>
      </c>
      <c r="M28" s="363"/>
      <c r="N28" s="364" t="s">
        <v>354</v>
      </c>
      <c r="O28" s="363"/>
    </row>
    <row r="29" spans="2:18" x14ac:dyDescent="0.25">
      <c r="G29" s="130" t="s">
        <v>312</v>
      </c>
      <c r="H29" s="130" t="s">
        <v>311</v>
      </c>
      <c r="I29" s="130" t="s">
        <v>351</v>
      </c>
      <c r="J29" s="130" t="s">
        <v>305</v>
      </c>
      <c r="K29" s="130" t="s">
        <v>306</v>
      </c>
      <c r="L29" s="130" t="s">
        <v>305</v>
      </c>
      <c r="M29" s="130" t="s">
        <v>306</v>
      </c>
      <c r="N29" s="130" t="s">
        <v>305</v>
      </c>
      <c r="O29" s="130" t="s">
        <v>306</v>
      </c>
    </row>
    <row r="30" spans="2:18" ht="21.75" thickBot="1" x14ac:dyDescent="0.3">
      <c r="B30" s="222" t="s">
        <v>369</v>
      </c>
      <c r="C30" s="199" t="s">
        <v>368</v>
      </c>
      <c r="G30" s="17">
        <f>IF((B33+I25)&gt;=0,(B33+I25),0)</f>
        <v>26</v>
      </c>
      <c r="H30" s="17">
        <f>IF(M21="yes",_xlfn.FLOOR.MATH(C33/3),C33)</f>
        <v>6</v>
      </c>
      <c r="I30" s="17">
        <f>IF(H21='CRIT TABLES'!M38,'CRIT TABLES'!N38,IF(H21='CRIT TABLES'!M39,'CRIT TABLES'!N39,IF(H21='CRIT TABLES'!M40,'CRIT TABLES'!N40,IF(H21='CRIT TABLES'!M41,'CRIT TABLES'!N41,IF(H21='CRIT TABLES'!M42,'CRIT TABLES'!N42,IF(H21='CRIT TABLES'!M43,'CRIT TABLES'!N43,IF(H21='CRIT TABLES'!M44,'CRIT TABLES'!N44,IF(H21='CRIT TABLES'!M45,'CRIT TABLES'!N45,IF(H21='CRIT TABLES'!M46,'CRIT TABLES'!N46,IF(H21='CRIT TABLES'!M47,'CRIT TABLES'!N47,IF(H21='CRIT TABLES'!M48,'CRIT TABLES'!N48,IF(H21='CRIT TABLES'!M49,'CRIT TABLES'!N49,IF(H21='CRIT TABLES'!M50,'CRIT TABLES'!N50,IF(H21='CRIT TABLES'!M51,'CRIT TABLES'!N51,IF(H21='CRIT TABLES'!M52,'CRIT TABLES'!N52,IF(H21='CRIT TABLES'!M53,'CRIT TABLES'!N53,IF(H21='CRIT TABLES'!M54,'CRIT TABLES'!N54,IF(H21='CRIT TABLES'!M55,'CRIT TABLES'!N55,IF(H21='CRIT TABLES'!M56,'CRIT TABLES'!N56,IF(H21='CRIT TABLES'!M57,'CRIT TABLES'!N57,IF(H21='CRIT TABLES'!M58,'CRIT TABLES'!N58,IF(H21='CRIT TABLES'!M59,'CRIT TABLES'!N59,IF(H21='CRIT TABLES'!M60,'CRIT TABLES'!N60,IF(H21='CRIT TABLES'!M61,'CRIT TABLES'!N61,IF(H21='CRIT TABLES'!M62,'CRIT TABLES'!N62,IF(H21='CRIT TABLES'!M63,'CRIT TABLES'!N63,IF(H21='CRIT TABLES'!M64,'CRIT TABLES'!N64,IF(H21='CRIT TABLES'!M65,'CRIT TABLES'!N65,IF(H21='CRIT TABLES'!M66,'CRIT TABLES'!N66,IF(H21='CRIT TABLES'!M67,'CRIT TABLES'!N67,IF(H21='CRIT TABLES'!M68,'CRIT TABLES'!N68,IF(H21='CRIT TABLES'!M69,'CRIT TABLES'!N69,IF(H21='CRIT TABLES'!M70,'CRIT TABLES'!N70,IF(H21='CRIT TABLES'!M71,'CRIT TABLES'!N71,IF(H21='CRIT TABLES'!M72,'CRIT TABLES'!N72,IF(H21='CRIT TABLES'!M73,'CRIT TABLES'!N73,IF(H21='CRIT TABLES'!M74,'CRIT TABLES'!N74,IF(H21='CRIT TABLES'!M75,'CRIT TABLES'!N75,IF(H21='CRIT TABLES'!M76,'CRIT TABLES'!N76,IF(H21='CRIT TABLES'!M77,'CRIT TABLES'!N77,IF(H21='CRIT TABLES'!M78,'CRIT TABLES'!N78,IF(H21='CRIT TABLES'!M79,'CRIT TABLES'!N79,IF(H21='CRIT TABLES'!M80,'CRIT TABLES'!N80,IF(H21='CRIT TABLES'!M81,'CRIT TABLES'!N81,IF(H21='CRIT TABLES'!M82,'CRIT TABLES'!N82,IF(H21='CRIT TABLES'!M83,'CRIT TABLES'!N83,IF(H21='CRIT TABLES'!M84,'CRIT TABLES'!N84,IF(H21='CRIT TABLES'!M85,'CRIT TABLES'!N85,IF(H21='CRIT TABLES'!M86,'CRIT TABLES'!N86,IF(H21='CRIT TABLES'!M87,'CRIT TABLES'!N87,IF(H21='CRIT TABLES'!M88,'CRIT TABLES'!N88)))))))))))))))))))))))))))))))))))))))))))))))))))</f>
        <v>1.82</v>
      </c>
      <c r="J30" s="196">
        <f>(((B25-H30+C25-H30)/2)*H25*J25)</f>
        <v>-6</v>
      </c>
      <c r="K30" s="196">
        <f>(((B25-H30+C25-H30)/2)*H25*K25)</f>
        <v>-6</v>
      </c>
      <c r="L30" s="196">
        <f>L25*I30*H25*(B25-H30+C25-H30)/2-L25*H25*(B25-H30+C25-H30)/2</f>
        <v>-1.5424200000000001</v>
      </c>
      <c r="M30" s="196">
        <f>M25*I30*H25*(B25-H30+C25-H30)/2-M25*H25*(B25-H30+C25-H30)/2</f>
        <v>-1.5424200000000001</v>
      </c>
      <c r="N30" s="196">
        <f>J30+L30</f>
        <v>-7.5424199999999999</v>
      </c>
      <c r="O30" s="196">
        <f>K30+M30</f>
        <v>-7.5424199999999999</v>
      </c>
      <c r="P30" s="195"/>
    </row>
    <row r="31" spans="2:18" ht="16.5" thickTop="1" thickBot="1" x14ac:dyDescent="0.3">
      <c r="B31" s="257"/>
      <c r="C31" s="258"/>
      <c r="D31" s="258"/>
      <c r="E31" s="258"/>
      <c r="F31" s="259"/>
      <c r="O31" s="377"/>
      <c r="P31" s="377"/>
      <c r="Q31" s="377"/>
      <c r="R31" s="377"/>
    </row>
    <row r="32" spans="2:18" ht="15.75" thickBot="1" x14ac:dyDescent="0.3">
      <c r="B32" s="272" t="s">
        <v>359</v>
      </c>
      <c r="C32" s="125" t="s">
        <v>360</v>
      </c>
      <c r="D32" s="321" t="s">
        <v>51</v>
      </c>
      <c r="E32" s="324" t="s">
        <v>479</v>
      </c>
      <c r="F32" s="329" t="s">
        <v>374</v>
      </c>
      <c r="G32" s="210"/>
      <c r="H32" s="210"/>
      <c r="I32" s="373" t="s">
        <v>370</v>
      </c>
      <c r="J32" s="373"/>
      <c r="K32" s="373"/>
      <c r="L32" s="373"/>
      <c r="M32" s="373"/>
      <c r="N32" s="210"/>
      <c r="O32" s="210"/>
      <c r="Q32" s="86"/>
      <c r="R32" s="86"/>
    </row>
    <row r="33" spans="2:17" ht="15.75" thickBot="1" x14ac:dyDescent="0.3">
      <c r="B33" s="273">
        <v>56</v>
      </c>
      <c r="C33" s="124">
        <v>6</v>
      </c>
      <c r="D33" s="322">
        <v>5</v>
      </c>
      <c r="E33" s="325" t="s">
        <v>288</v>
      </c>
      <c r="F33" s="330" t="s">
        <v>288</v>
      </c>
      <c r="G33" s="362" t="s">
        <v>356</v>
      </c>
      <c r="H33" s="363"/>
      <c r="I33" s="364" t="s">
        <v>390</v>
      </c>
      <c r="J33" s="362"/>
      <c r="K33" s="362"/>
      <c r="L33" s="362"/>
      <c r="M33" s="363"/>
      <c r="N33" s="364" t="s">
        <v>414</v>
      </c>
      <c r="O33" s="363"/>
      <c r="Q33" s="86"/>
    </row>
    <row r="34" spans="2:17" ht="15.75" thickBot="1" x14ac:dyDescent="0.3">
      <c r="B34" s="331"/>
      <c r="C34" s="325"/>
      <c r="D34" s="325"/>
      <c r="E34" s="325"/>
      <c r="F34" s="330"/>
      <c r="G34" s="323" t="s">
        <v>312</v>
      </c>
      <c r="H34" s="130" t="s">
        <v>311</v>
      </c>
      <c r="I34" s="130" t="s">
        <v>225</v>
      </c>
      <c r="J34" s="130" t="s">
        <v>226</v>
      </c>
      <c r="K34" s="130" t="s">
        <v>227</v>
      </c>
      <c r="L34" s="130" t="s">
        <v>228</v>
      </c>
      <c r="M34" s="130" t="s">
        <v>279</v>
      </c>
      <c r="N34" s="130" t="s">
        <v>415</v>
      </c>
      <c r="O34" s="130"/>
    </row>
    <row r="35" spans="2:17" x14ac:dyDescent="0.25">
      <c r="B35" s="272" t="s">
        <v>365</v>
      </c>
      <c r="C35" s="125" t="s">
        <v>52</v>
      </c>
      <c r="D35" s="321" t="s">
        <v>500</v>
      </c>
      <c r="E35" s="324" t="s">
        <v>367</v>
      </c>
      <c r="F35" s="324" t="s">
        <v>498</v>
      </c>
      <c r="G35" s="311">
        <f>IF((B33+I25)&gt;=0,(B33+I25),0)</f>
        <v>26</v>
      </c>
      <c r="H35" s="221">
        <f>IF(M21="yes",_xlfn.FLOOR.MATH(C33/3),C33)</f>
        <v>6</v>
      </c>
      <c r="I35" s="194">
        <f>IF((H21+IF(B36="yes",-10,0))&lt;=0,0,(H21+IF(B36="yes",-10,0)))</f>
        <v>28</v>
      </c>
      <c r="J35" s="194">
        <f>IF((H21+IF(B36="yes",-10,0))&lt;=0,0,(H21+IF(B36="yes",-10,0)))</f>
        <v>28</v>
      </c>
      <c r="K35" s="194">
        <f>H21</f>
        <v>28</v>
      </c>
      <c r="L35" s="194">
        <f>H21</f>
        <v>28</v>
      </c>
      <c r="M35" s="194">
        <f>H21</f>
        <v>28</v>
      </c>
      <c r="N35" s="196">
        <f>((D25+E25)*H25/2)</f>
        <v>30</v>
      </c>
      <c r="O35" s="196"/>
    </row>
    <row r="36" spans="2:17" ht="15.75" thickBot="1" x14ac:dyDescent="0.3">
      <c r="B36" s="273" t="s">
        <v>210</v>
      </c>
      <c r="C36" s="326">
        <v>6</v>
      </c>
      <c r="D36" s="327">
        <v>8</v>
      </c>
      <c r="E36" s="328">
        <v>10</v>
      </c>
      <c r="F36" s="330" t="s">
        <v>288</v>
      </c>
    </row>
    <row r="37" spans="2:17" ht="15.75" thickBot="1" x14ac:dyDescent="0.3">
      <c r="B37" s="332"/>
      <c r="C37" s="270"/>
      <c r="D37" s="270"/>
      <c r="E37" s="270"/>
      <c r="F37" s="271"/>
      <c r="I37" s="364" t="s">
        <v>391</v>
      </c>
      <c r="J37" s="362"/>
      <c r="K37" s="362"/>
      <c r="L37" s="362"/>
      <c r="M37" s="363"/>
    </row>
    <row r="38" spans="2:17" ht="15.75" thickTop="1" x14ac:dyDescent="0.25">
      <c r="I38" s="130" t="s">
        <v>225</v>
      </c>
      <c r="J38" s="130" t="s">
        <v>226</v>
      </c>
      <c r="K38" s="130" t="s">
        <v>227</v>
      </c>
      <c r="L38" s="130" t="s">
        <v>228</v>
      </c>
      <c r="M38" s="130" t="s">
        <v>279</v>
      </c>
    </row>
    <row r="39" spans="2:17" ht="16.5" thickBot="1" x14ac:dyDescent="0.3">
      <c r="C39" s="214" t="s">
        <v>147</v>
      </c>
      <c r="I39" s="196">
        <f>C21*(100-D33)/100</f>
        <v>88.35</v>
      </c>
      <c r="J39" s="196">
        <f>D21*(100-D33)/100</f>
        <v>69.349999999999994</v>
      </c>
      <c r="K39" s="196">
        <f>E21*(100-D33)/100</f>
        <v>59.85</v>
      </c>
      <c r="L39" s="196">
        <f>F21*(100-D33)/100</f>
        <v>59.85</v>
      </c>
      <c r="M39" s="196">
        <f>G21*(100-D33)/100</f>
        <v>50.35</v>
      </c>
    </row>
    <row r="40" spans="2:17" ht="16.5" thickTop="1" thickBot="1" x14ac:dyDescent="0.3">
      <c r="B40" s="257"/>
      <c r="C40" s="258"/>
      <c r="D40" s="258"/>
      <c r="E40" s="258"/>
      <c r="F40" s="258"/>
      <c r="G40" s="259"/>
    </row>
    <row r="41" spans="2:17" ht="15.75" thickBot="1" x14ac:dyDescent="0.3">
      <c r="B41" s="264" t="s">
        <v>147</v>
      </c>
      <c r="C41" s="128" t="s">
        <v>182</v>
      </c>
      <c r="D41" s="129" t="s">
        <v>50</v>
      </c>
      <c r="E41" s="220"/>
      <c r="F41" s="220"/>
      <c r="G41" s="260"/>
      <c r="I41" s="364" t="s">
        <v>392</v>
      </c>
      <c r="J41" s="362"/>
      <c r="K41" s="362"/>
      <c r="L41" s="362"/>
      <c r="M41" s="363"/>
    </row>
    <row r="42" spans="2:17" x14ac:dyDescent="0.25">
      <c r="B42" s="261" t="s">
        <v>191</v>
      </c>
      <c r="C42" s="131">
        <f>ARMORS!C45+'TARGET STATS'!$F$13+$B$57+IF($G$53="Yes",'TARGET STATS'!$C$23,0)</f>
        <v>6</v>
      </c>
      <c r="D42" s="127">
        <f>IF(((ARMORS!D45+'TARGET STATS'!$E$3+'TARGET STATS'!$I$13+'TARGET STATS'!$F$18+$C$57+IF($G$53="Yes",'TARGET STATS'!$D$23,0))&lt;=90),(ARMORS!D45+'TARGET STATS'!$E$3+'TARGET STATS'!$I$13+'TARGET STATS'!$F$18+$C$57+IF($G$53="Yes",'TARGET STATS'!$D$23,0)),90)</f>
        <v>56</v>
      </c>
      <c r="E42" s="220"/>
      <c r="F42" s="220"/>
      <c r="G42" s="260"/>
      <c r="H42" s="313"/>
      <c r="I42" s="314" t="s">
        <v>225</v>
      </c>
      <c r="J42" s="314" t="s">
        <v>226</v>
      </c>
      <c r="K42" s="314" t="s">
        <v>227</v>
      </c>
      <c r="L42" s="314" t="s">
        <v>228</v>
      </c>
      <c r="M42" s="314" t="s">
        <v>279</v>
      </c>
      <c r="N42" s="315"/>
    </row>
    <row r="43" spans="2:17" x14ac:dyDescent="0.25">
      <c r="B43" s="262" t="s">
        <v>192</v>
      </c>
      <c r="C43" s="221">
        <f>ARMORS!C46+'TARGET STATS'!$F$13+$B$57</f>
        <v>9</v>
      </c>
      <c r="D43" s="122">
        <f>IF(((ARMORS!D46+'TARGET STATS'!$E$3+'TARGET STATS'!$I$13+$C$57)&lt;=90),(ARMORS!D46+'TARGET STATS'!$E$3+'TARGET STATS'!$I$13+$C$57),90)</f>
        <v>66</v>
      </c>
      <c r="E43" s="220"/>
      <c r="F43" s="220"/>
      <c r="G43" s="260"/>
      <c r="H43" s="313"/>
      <c r="I43" s="196">
        <f>IF(I35='CRIT TABLES'!P38,'CRIT TABLES'!Q38,IF(I35='CRIT TABLES'!P39,'CRIT TABLES'!Q39,IF(I35='CRIT TABLES'!P40,'CRIT TABLES'!Q40,IF(I35='CRIT TABLES'!P41,'CRIT TABLES'!Q41,IF(I35='CRIT TABLES'!P42,'CRIT TABLES'!Q42,IF(I35='CRIT TABLES'!P43,'CRIT TABLES'!Q43,IF(I35='CRIT TABLES'!P44,'CRIT TABLES'!Q44,IF(I35='CRIT TABLES'!P45,'CRIT TABLES'!Q45,IF(I35='CRIT TABLES'!P46,'CRIT TABLES'!Q46,IF(I35='CRIT TABLES'!P47,'CRIT TABLES'!Q47,IF(I35='CRIT TABLES'!P48,'CRIT TABLES'!Q48,IF(I35='CRIT TABLES'!P49,'CRIT TABLES'!Q49,IF(I35='CRIT TABLES'!P50,'CRIT TABLES'!Q50,IF(I35='CRIT TABLES'!P51,'CRIT TABLES'!Q51,IF(I35='CRIT TABLES'!P52,'CRIT TABLES'!Q52,IF(I35='CRIT TABLES'!P53,'CRIT TABLES'!Q53,IF(I35='CRIT TABLES'!P54,'CRIT TABLES'!Q54,IF(I35='CRIT TABLES'!P55,'CRIT TABLES'!Q55,IF(I35='CRIT TABLES'!P56,'CRIT TABLES'!Q56,IF(I35='CRIT TABLES'!P57,'CRIT TABLES'!Q57,IF(I35='CRIT TABLES'!P58,'CRIT TABLES'!Q58,IF(I35='CRIT TABLES'!P59,'CRIT TABLES'!Q59,IF(I35='CRIT TABLES'!P60,'CRIT TABLES'!Q60,IF(I35='CRIT TABLES'!P61,'CRIT TABLES'!Q61,IF(I35='CRIT TABLES'!P62,'CRIT TABLES'!Q62,IF(I35='CRIT TABLES'!P63,'CRIT TABLES'!Q63,IF(I35='CRIT TABLES'!P64,'CRIT TABLES'!Q64,IF(I35='CRIT TABLES'!P65,'CRIT TABLES'!Q65,IF(I35='CRIT TABLES'!P66,'CRIT TABLES'!Q66,IF(I35='CRIT TABLES'!P67,'CRIT TABLES'!Q67,IF(I35='CRIT TABLES'!P68,'CRIT TABLES'!Q68,IF(I35='CRIT TABLES'!P69,'CRIT TABLES'!Q69,IF(I35='CRIT TABLES'!P70,'CRIT TABLES'!Q70,IF(I35='CRIT TABLES'!P71,'CRIT TABLES'!Q71,IF(I35='CRIT TABLES'!P72,'CRIT TABLES'!Q72,IF(I35='CRIT TABLES'!P73,'CRIT TABLES'!Q73,IF(I35='CRIT TABLES'!P74,'CRIT TABLES'!Q74,IF(I35='CRIT TABLES'!P75,'CRIT TABLES'!Q75,IF(I35='CRIT TABLES'!P76,'CRIT TABLES'!Q76,IF(I35='CRIT TABLES'!P77,'CRIT TABLES'!Q77,IF(I35='CRIT TABLES'!P78,'CRIT TABLES'!Q78,IF(I35='CRIT TABLES'!P79,'CRIT TABLES'!Q79,IF(I35='CRIT TABLES'!P80,'CRIT TABLES'!Q80,IF(I35='CRIT TABLES'!P81,'CRIT TABLES'!Q81,IF(I35='CRIT TABLES'!P82,'CRIT TABLES'!Q82,IF(I35='CRIT TABLES'!P83,'CRIT TABLES'!Q83,IF(I35='CRIT TABLES'!P84,'CRIT TABLES'!Q84,IF(I35='CRIT TABLES'!P85,'CRIT TABLES'!Q85,IF(I35='CRIT TABLES'!P86,'CRIT TABLES'!Q86,IF(I35='CRIT TABLES'!P87,'CRIT TABLES'!Q87,IF(I35='CRIT TABLES'!P88,'CRIT TABLES'!Q88)))))))))))))))))))))))))))))))))))))))))))))))))))</f>
        <v>3.3849999999999998</v>
      </c>
      <c r="J43" s="196">
        <f>IF(J35='CRIT TABLES'!P38,'CRIT TABLES'!T38,IF(J35='CRIT TABLES'!P39,'CRIT TABLES'!T39,IF(J35='CRIT TABLES'!P40,'CRIT TABLES'!T40,IF(J35='CRIT TABLES'!P41,'CRIT TABLES'!T41,IF(J35='CRIT TABLES'!P42,'CRIT TABLES'!T42,IF(J35='CRIT TABLES'!P43,'CRIT TABLES'!T43,IF(J35='CRIT TABLES'!P44,'CRIT TABLES'!T44,IF(J35='CRIT TABLES'!P45,'CRIT TABLES'!T45,IF(J35='CRIT TABLES'!P46,'CRIT TABLES'!T46,IF(J35='CRIT TABLES'!P47,'CRIT TABLES'!T47,IF(J35='CRIT TABLES'!P48,'CRIT TABLES'!T48,IF(J35='CRIT TABLES'!P49,'CRIT TABLES'!T49,IF(J35='CRIT TABLES'!P50,'CRIT TABLES'!T50,IF(J35='CRIT TABLES'!P51,'CRIT TABLES'!T51,IF(J35='CRIT TABLES'!P52,'CRIT TABLES'!T52,IF(J35='CRIT TABLES'!P53,'CRIT TABLES'!T53,IF(J35='CRIT TABLES'!P54,'CRIT TABLES'!T54,IF(J35='CRIT TABLES'!P55,'CRIT TABLES'!T55,IF(J35='CRIT TABLES'!P56,'CRIT TABLES'!T56,IF(J35='CRIT TABLES'!P57,'CRIT TABLES'!T57,IF(J35='CRIT TABLES'!P58,'CRIT TABLES'!T58,IF(J35='CRIT TABLES'!P59,'CRIT TABLES'!T59,IF(J35='CRIT TABLES'!P60,'CRIT TABLES'!T60,IF(J35='CRIT TABLES'!P61,'CRIT TABLES'!T61,IF(J35='CRIT TABLES'!P62,'CRIT TABLES'!T62,IF(J35='CRIT TABLES'!P63,'CRIT TABLES'!T63,IF(J35='CRIT TABLES'!P64,'CRIT TABLES'!T64,IF(J35='CRIT TABLES'!P65,'CRIT TABLES'!T65,IF(J35='CRIT TABLES'!P66,'CRIT TABLES'!T66,IF(J35='CRIT TABLES'!P67,'CRIT TABLES'!T67,IF(J35='CRIT TABLES'!P68,'CRIT TABLES'!T68,IF(J35='CRIT TABLES'!P69,'CRIT TABLES'!T69,IF(J35='CRIT TABLES'!P70,'CRIT TABLES'!T70,IF(J35='CRIT TABLES'!P71,'CRIT TABLES'!T71,IF(J35='CRIT TABLES'!P72,'CRIT TABLES'!T72,IF(J35='CRIT TABLES'!P73,'CRIT TABLES'!T73,IF(J35='CRIT TABLES'!P74,'CRIT TABLES'!T74,IF(J35='CRIT TABLES'!P75,'CRIT TABLES'!T75,IF(J35='CRIT TABLES'!P76,'CRIT TABLES'!T76,IF(J35='CRIT TABLES'!P77,'CRIT TABLES'!T77,IF(J35='CRIT TABLES'!P78,'CRIT TABLES'!T78,IF(J35='CRIT TABLES'!P79,'CRIT TABLES'!T79,IF(J35='CRIT TABLES'!P80,'CRIT TABLES'!T80,IF(J35='CRIT TABLES'!P81,'CRIT TABLES'!T81,IF(J35='CRIT TABLES'!P82,'CRIT TABLES'!T82,IF(J35='CRIT TABLES'!P83,'CRIT TABLES'!T83,IF(J35='CRIT TABLES'!P84,'CRIT TABLES'!T84,IF(J35='CRIT TABLES'!P85,'CRIT TABLES'!T85,IF(J35='CRIT TABLES'!P86,'CRIT TABLES'!T86,IF(J35='CRIT TABLES'!P87,'CRIT TABLES'!T87,IF(J35='CRIT TABLES'!P88,'CRIT TABLES'!T88)))))))))))))))))))))))))))))))))))))))))))))))))))</f>
        <v>3.1950000000000101</v>
      </c>
      <c r="K43" s="196">
        <f>IF(K35='CRIT TABLES'!P38,'CRIT TABLES'!W38,IF(K35='CRIT TABLES'!P39,'CRIT TABLES'!W39,IF(K35='CRIT TABLES'!P40,'CRIT TABLES'!W40,IF(K35='CRIT TABLES'!P41,'CRIT TABLES'!W41,IF(K35='CRIT TABLES'!P42,'CRIT TABLES'!W42,IF(K35='CRIT TABLES'!P43,'CRIT TABLES'!W43,IF(K35='CRIT TABLES'!P44,'CRIT TABLES'!W44,IF(K35='CRIT TABLES'!P45,'CRIT TABLES'!W45,IF(K35='CRIT TABLES'!P46,'CRIT TABLES'!W46,IF(K35='CRIT TABLES'!P47,'CRIT TABLES'!W47,IF(K35='CRIT TABLES'!P48,'CRIT TABLES'!W48,IF(K35='CRIT TABLES'!P49,'CRIT TABLES'!W49,IF(K35='CRIT TABLES'!P50,'CRIT TABLES'!W50,IF(K35='CRIT TABLES'!P51,'CRIT TABLES'!W51,IF(K35='CRIT TABLES'!P52,'CRIT TABLES'!W52,IF(K35='CRIT TABLES'!P53,'CRIT TABLES'!W53,IF(K35='CRIT TABLES'!P54,'CRIT TABLES'!W54,IF(K35='CRIT TABLES'!P55,'CRIT TABLES'!W55,IF(K35='CRIT TABLES'!P56,'CRIT TABLES'!W56,IF(K35='CRIT TABLES'!P57,'CRIT TABLES'!W57,IF(K35='CRIT TABLES'!P58,'CRIT TABLES'!W58,IF(K35='CRIT TABLES'!P59,'CRIT TABLES'!W59,IF(K35='CRIT TABLES'!P60,'CRIT TABLES'!W60,IF(K35='CRIT TABLES'!P61,'CRIT TABLES'!W61,IF(K35='CRIT TABLES'!P62,'CRIT TABLES'!W62,IF(K35='CRIT TABLES'!P63,'CRIT TABLES'!W63,IF(K35='CRIT TABLES'!P64,'CRIT TABLES'!W64,IF(K35='CRIT TABLES'!P65,'CRIT TABLES'!W65,IF(K35='CRIT TABLES'!P66,'CRIT TABLES'!W66,IF(K35='CRIT TABLES'!P67,'CRIT TABLES'!W67,IF(K35='CRIT TABLES'!P68,'CRIT TABLES'!W68,IF(K35='CRIT TABLES'!P69,'CRIT TABLES'!W69,IF(K35='CRIT TABLES'!P70,'CRIT TABLES'!W70,IF(K35='CRIT TABLES'!P71,'CRIT TABLES'!W71,IF(K35='CRIT TABLES'!P72,'CRIT TABLES'!W72,IF(K35='CRIT TABLES'!P73,'CRIT TABLES'!W73,IF(K35='CRIT TABLES'!P74,'CRIT TABLES'!W74,IF(K35='CRIT TABLES'!P75,'CRIT TABLES'!W75,IF(K35='CRIT TABLES'!P76,'CRIT TABLES'!W76,IF(K35='CRIT TABLES'!P77,'CRIT TABLES'!W77,IF(K35='CRIT TABLES'!P78,'CRIT TABLES'!W78,IF(K35='CRIT TABLES'!P79,'CRIT TABLES'!W79,IF(K35='CRIT TABLES'!P80,'CRIT TABLES'!W80,IF(K35='CRIT TABLES'!P81,'CRIT TABLES'!W81,IF(K35='CRIT TABLES'!P82,'CRIT TABLES'!W82,IF(K35='CRIT TABLES'!P83,'CRIT TABLES'!W83,IF(K35='CRIT TABLES'!P84,'CRIT TABLES'!W84,IF(K35='CRIT TABLES'!P85,'CRIT TABLES'!W85,IF(K35='CRIT TABLES'!P86,'CRIT TABLES'!W86,IF(K35='CRIT TABLES'!P87,'CRIT TABLES'!W87,IF(K35='CRIT TABLES'!P88,'CRIT TABLES'!W88)))))))))))))))))))))))))))))))))))))))))))))))))))</f>
        <v>3.2450000000000001</v>
      </c>
      <c r="L43" s="196">
        <f>IF(L35='CRIT TABLES'!P38,'CRIT TABLES'!Z38,IF(L35='CRIT TABLES'!P39,'CRIT TABLES'!Z39,IF(L35='CRIT TABLES'!P40,'CRIT TABLES'!Z40,IF(L35='CRIT TABLES'!P41,'CRIT TABLES'!Z41,IF(L35='CRIT TABLES'!P42,'CRIT TABLES'!Z42,IF(L35='CRIT TABLES'!P43,'CRIT TABLES'!Z43,IF(L35='CRIT TABLES'!P44,'CRIT TABLES'!Z44,IF(L35='CRIT TABLES'!P45,'CRIT TABLES'!Z45,IF(L35='CRIT TABLES'!P46,'CRIT TABLES'!Z46,IF(L35='CRIT TABLES'!P47,'CRIT TABLES'!Z47,IF(L35='CRIT TABLES'!P48,'CRIT TABLES'!Z48,IF(L35='CRIT TABLES'!P49,'CRIT TABLES'!Z49,IF(L35='CRIT TABLES'!P50,'CRIT TABLES'!Z50,IF(L35='CRIT TABLES'!P51,'CRIT TABLES'!Z51,IF(L35='CRIT TABLES'!P52,'CRIT TABLES'!Z52,IF(L35='CRIT TABLES'!P53,'CRIT TABLES'!Z53,IF(L35='CRIT TABLES'!P54,'CRIT TABLES'!Z54,IF(L35='CRIT TABLES'!P55,'CRIT TABLES'!Z55,IF(L35='CRIT TABLES'!P56,'CRIT TABLES'!Z56,IF(L35='CRIT TABLES'!P57,'CRIT TABLES'!Z57,IF(L35='CRIT TABLES'!P58,'CRIT TABLES'!Z58,IF(L35='CRIT TABLES'!P59,'CRIT TABLES'!Z59,IF(L35='CRIT TABLES'!P60,'CRIT TABLES'!Z60,IF(L35='CRIT TABLES'!P61,'CRIT TABLES'!Z61,IF(L35='CRIT TABLES'!P62,'CRIT TABLES'!Z62,IF(L35='CRIT TABLES'!P63,'CRIT TABLES'!Z63,IF(L35='CRIT TABLES'!P64,'CRIT TABLES'!Z64,IF(L35='CRIT TABLES'!P65,'CRIT TABLES'!Z65,IF(L35='CRIT TABLES'!P66,'CRIT TABLES'!Z66,IF(L35='CRIT TABLES'!P67,'CRIT TABLES'!Z67,IF(L35='CRIT TABLES'!P68,'CRIT TABLES'!Z68,IF(L35='CRIT TABLES'!P69,'CRIT TABLES'!Z69,IF(L35='CRIT TABLES'!P70,'CRIT TABLES'!Z70,IF(L35='CRIT TABLES'!P71,'CRIT TABLES'!Z71,IF(L35='CRIT TABLES'!P72,'CRIT TABLES'!Z72,IF(L35='CRIT TABLES'!P73,'CRIT TABLES'!Z73,IF(L35='CRIT TABLES'!P74,'CRIT TABLES'!Z74,IF(L35='CRIT TABLES'!P75,'CRIT TABLES'!Z75,IF(L35='CRIT TABLES'!P76,'CRIT TABLES'!Z76,IF(L35='CRIT TABLES'!P77,'CRIT TABLES'!Z77,IF(L35='CRIT TABLES'!P78,'CRIT TABLES'!Z78,IF(L35='CRIT TABLES'!P79,'CRIT TABLES'!Z79,IF(L35='CRIT TABLES'!P80,'CRIT TABLES'!Z80,IF(L35='CRIT TABLES'!P81,'CRIT TABLES'!Z81,IF(L35='CRIT TABLES'!P82,'CRIT TABLES'!Z82,IF(L35='CRIT TABLES'!P83,'CRIT TABLES'!Z83,IF(L35='CRIT TABLES'!P84,'CRIT TABLES'!Z84,IF(L35='CRIT TABLES'!P85,'CRIT TABLES'!Z85,IF(L35='CRIT TABLES'!P86,'CRIT TABLES'!Z86,IF(L35='CRIT TABLES'!P87,'CRIT TABLES'!Z87,IF(L35='CRIT TABLES'!P88,'CRIT TABLES'!Z88)))))))))))))))))))))))))))))))))))))))))))))))))))</f>
        <v>2.89</v>
      </c>
      <c r="M43" s="196">
        <f>IF(M35='CRIT TABLES'!P38,'CRIT TABLES'!AC38,IF(M35='CRIT TABLES'!P39,'CRIT TABLES'!AC39,IF(M35='CRIT TABLES'!P40,'CRIT TABLES'!AC40,IF(M35='CRIT TABLES'!P41,'CRIT TABLES'!AC41,IF(M35='CRIT TABLES'!P42,'CRIT TABLES'!AC42,IF(M35='CRIT TABLES'!P43,'CRIT TABLES'!AC43,IF(M35='CRIT TABLES'!P44,'CRIT TABLES'!AC44,IF(M35='CRIT TABLES'!P45,'CRIT TABLES'!AC45,IF(M35='CRIT TABLES'!P46,'CRIT TABLES'!AC46,IF(M35='CRIT TABLES'!P47,'CRIT TABLES'!AC47,IF(M35='CRIT TABLES'!P48,'CRIT TABLES'!AC48,IF(M35='CRIT TABLES'!P49,'CRIT TABLES'!AC49,IF(M35='CRIT TABLES'!P50,'CRIT TABLES'!AC50,IF(M35='CRIT TABLES'!P51,'CRIT TABLES'!AC51,IF(M35='CRIT TABLES'!P52,'CRIT TABLES'!AC52,IF(M35='CRIT TABLES'!P53,'CRIT TABLES'!AC53,IF(M35='CRIT TABLES'!P54,'CRIT TABLES'!AC54,IF(M35='CRIT TABLES'!P55,'CRIT TABLES'!AC55,IF(M35='CRIT TABLES'!P56,'CRIT TABLES'!AC56,IF(M35='CRIT TABLES'!P57,'CRIT TABLES'!AC57,IF(M35='CRIT TABLES'!P58,'CRIT TABLES'!AC58,IF(M35='CRIT TABLES'!P59,'CRIT TABLES'!AC59,IF(M35='CRIT TABLES'!P60,'CRIT TABLES'!AC60,IF(M35='CRIT TABLES'!P61,'CRIT TABLES'!AC61,IF(M35='CRIT TABLES'!P62,'CRIT TABLES'!AC62,IF(M35='CRIT TABLES'!P63,'CRIT TABLES'!AC63,IF(M35='CRIT TABLES'!P64,'CRIT TABLES'!AC64,IF(M35='CRIT TABLES'!P65,'CRIT TABLES'!AC65,IF(M35='CRIT TABLES'!P66,'CRIT TABLES'!AC66,IF(M35='CRIT TABLES'!P67,'CRIT TABLES'!AC67,IF(M35='CRIT TABLES'!P68,'CRIT TABLES'!AC68,IF(M35='CRIT TABLES'!P69,'CRIT TABLES'!AC69,IF(M35='CRIT TABLES'!P70,'CRIT TABLES'!AC70,IF(M35='CRIT TABLES'!P71,'CRIT TABLES'!AC71,IF(M35='CRIT TABLES'!P72,'CRIT TABLES'!AC72,IF(M35='CRIT TABLES'!P73,'CRIT TABLES'!AC73,IF(M35='CRIT TABLES'!P74,'CRIT TABLES'!AC74,IF(M35='CRIT TABLES'!P75,'CRIT TABLES'!AC75,IF(M35='CRIT TABLES'!P76,'CRIT TABLES'!AC76,IF(M35='CRIT TABLES'!P77,'CRIT TABLES'!AC77,IF(M35='CRIT TABLES'!P78,'CRIT TABLES'!AC78,IF(M35='CRIT TABLES'!P79,'CRIT TABLES'!AC79,IF(M35='CRIT TABLES'!P80,'CRIT TABLES'!AC80,IF(M35='CRIT TABLES'!P81,'CRIT TABLES'!AC81,IF(M35='CRIT TABLES'!P82,'CRIT TABLES'!AC82,IF(M35='CRIT TABLES'!P83,'CRIT TABLES'!AC83,IF(M35='CRIT TABLES'!P84,'CRIT TABLES'!AC84,IF(M35='CRIT TABLES'!P85,'CRIT TABLES'!AC85,IF(M35='CRIT TABLES'!P86,'CRIT TABLES'!AC86,IF(M35='CRIT TABLES'!P87,'CRIT TABLES'!AC87,IF(M35='CRIT TABLES'!P88,'CRIT TABLES'!AC88)))))))))))))))))))))))))))))))))))))))))))))))))))</f>
        <v>2.89</v>
      </c>
      <c r="N43" s="313"/>
    </row>
    <row r="44" spans="2:17" ht="15.75" thickBot="1" x14ac:dyDescent="0.3">
      <c r="B44" s="262" t="s">
        <v>193</v>
      </c>
      <c r="C44" s="221">
        <f>ARMORS!C47+'TARGET STATS'!$F$13+$B$57+IF($G$53="Yes",'TARGET STATS'!$C$24,0)</f>
        <v>5</v>
      </c>
      <c r="D44" s="122">
        <f>IF(((ARMORS!D47+'TARGET STATS'!$E$3+'TARGET STATS'!$I$13+$C$57++IF($G$53="Yes",'TARGET STATS'!$D$24,0))&lt;=90),(ARMORS!D47+'TARGET STATS'!$E$3+'TARGET STATS'!$I$13+$C$57++IF($G$53="Yes",'TARGET STATS'!$D$24,0)),90)</f>
        <v>51</v>
      </c>
      <c r="E44" s="220"/>
      <c r="F44" s="220"/>
      <c r="G44" s="260"/>
      <c r="H44" s="313"/>
      <c r="I44" s="313"/>
      <c r="J44" s="313"/>
      <c r="K44" s="313"/>
      <c r="L44" s="313"/>
      <c r="M44" s="313"/>
      <c r="N44" s="313"/>
    </row>
    <row r="45" spans="2:17" ht="15.75" thickBot="1" x14ac:dyDescent="0.3">
      <c r="B45" s="262" t="s">
        <v>194</v>
      </c>
      <c r="C45" s="221">
        <f>ARMORS!C48+'TARGET STATS'!$F$13+$B$57</f>
        <v>5</v>
      </c>
      <c r="D45" s="122">
        <f>IF(((ARMORS!D48+'TARGET STATS'!$E$3+'TARGET STATS'!$I$13+$C$57)&lt;=90),(ARMORS!D48+'TARGET STATS'!$E$3+'TARGET STATS'!$I$13+$C$57),90)</f>
        <v>46</v>
      </c>
      <c r="E45" s="220"/>
      <c r="F45" s="220"/>
      <c r="G45" s="260"/>
      <c r="H45" s="313"/>
      <c r="I45" s="356" t="s">
        <v>393</v>
      </c>
      <c r="J45" s="348"/>
      <c r="K45" s="348"/>
      <c r="L45" s="348"/>
      <c r="M45" s="349"/>
      <c r="N45" s="313"/>
    </row>
    <row r="46" spans="2:17" x14ac:dyDescent="0.25">
      <c r="B46" s="262" t="s">
        <v>195</v>
      </c>
      <c r="C46" s="221">
        <f>ARMORS!C49+'TARGET STATS'!$F$13+$B$57+IF($G$53="Yes",'TARGET STATS'!$C$25,0)</f>
        <v>9</v>
      </c>
      <c r="D46" s="122">
        <f>IF(((ARMORS!D49+'TARGET STATS'!$E$3+'TARGET STATS'!$I$13+$C$57+IF($G$53="Yes",'TARGET STATS'!$D$25,0))&lt;=90),(ARMORS!D49+'TARGET STATS'!$E$3+'TARGET STATS'!$I$13+$C$57+IF($G$53="Yes",'TARGET STATS'!$D$25,0)),90)</f>
        <v>61</v>
      </c>
      <c r="E46" s="220"/>
      <c r="F46" s="220"/>
      <c r="G46" s="260"/>
      <c r="H46" s="313"/>
      <c r="I46" s="314" t="s">
        <v>225</v>
      </c>
      <c r="J46" s="314" t="s">
        <v>226</v>
      </c>
      <c r="K46" s="314" t="s">
        <v>227</v>
      </c>
      <c r="L46" s="314" t="s">
        <v>228</v>
      </c>
      <c r="M46" s="314" t="s">
        <v>279</v>
      </c>
      <c r="N46" s="313"/>
    </row>
    <row r="47" spans="2:17" x14ac:dyDescent="0.25">
      <c r="B47" s="262" t="s">
        <v>196</v>
      </c>
      <c r="C47" s="221">
        <f>ARMORS!C50+'TARGET STATS'!$F$13+$B$57+IF($G$53="Yes",'TARGET STATS'!$C$26,0)</f>
        <v>2</v>
      </c>
      <c r="D47" s="122">
        <f>IF(((ARMORS!D50+'TARGET STATS'!$E$3+'TARGET STATS'!$I$13+$C$57+IF($G$53="Yes",'TARGET STATS'!$D$26,0))&lt;=90),(ARMORS!D50+'TARGET STATS'!$E$3+'TARGET STATS'!$I$13+$C$57+IF($G$53="Yes",'TARGET STATS'!$D$26,0)),90)</f>
        <v>41</v>
      </c>
      <c r="E47" s="220"/>
      <c r="F47" s="220"/>
      <c r="G47" s="260"/>
      <c r="H47" s="313"/>
      <c r="I47" s="196">
        <f>((D25+E25)*H25)/2-H35</f>
        <v>24</v>
      </c>
      <c r="J47" s="196">
        <f>(D25+E25)/2-H35</f>
        <v>24</v>
      </c>
      <c r="K47" s="196">
        <f>(D25+E25)*H25/2-H35</f>
        <v>24</v>
      </c>
      <c r="L47" s="196">
        <f>(D25+E25)*H25/2-H35</f>
        <v>24</v>
      </c>
      <c r="M47" s="196">
        <f>(D25+E25)/2-H35</f>
        <v>24</v>
      </c>
      <c r="N47" s="313"/>
    </row>
    <row r="48" spans="2:17" ht="15.75" thickBot="1" x14ac:dyDescent="0.3">
      <c r="B48" s="262" t="s">
        <v>199</v>
      </c>
      <c r="C48" s="221">
        <f>ARMORS!C51</f>
        <v>25</v>
      </c>
      <c r="D48" s="220"/>
      <c r="E48" s="220"/>
      <c r="F48" s="220"/>
      <c r="G48" s="260"/>
      <c r="H48" s="313"/>
      <c r="I48" s="313"/>
      <c r="J48" s="313"/>
      <c r="K48" s="313"/>
      <c r="L48" s="313"/>
      <c r="M48" s="313"/>
      <c r="N48" s="313"/>
    </row>
    <row r="49" spans="2:14" ht="15.75" thickBot="1" x14ac:dyDescent="0.3">
      <c r="B49" s="262" t="s">
        <v>204</v>
      </c>
      <c r="C49" s="221">
        <f>IF(((ARMORS!C52+'TARGET STATS'!$F$9+$D$57)&lt;=95),(ARMORS!C52+'TARGET STATS'!$F$9+$D$57),95)</f>
        <v>5</v>
      </c>
      <c r="D49" s="220"/>
      <c r="E49" s="220"/>
      <c r="F49" s="220"/>
      <c r="G49" s="260"/>
      <c r="H49" s="313"/>
      <c r="I49" s="356" t="s">
        <v>394</v>
      </c>
      <c r="J49" s="348"/>
      <c r="K49" s="348"/>
      <c r="L49" s="348"/>
      <c r="M49" s="349"/>
      <c r="N49" s="313"/>
    </row>
    <row r="50" spans="2:14" x14ac:dyDescent="0.25">
      <c r="B50" s="263"/>
      <c r="C50" s="220"/>
      <c r="D50" s="220"/>
      <c r="E50" s="220"/>
      <c r="F50" s="220"/>
      <c r="G50" s="260"/>
      <c r="H50" s="313"/>
      <c r="I50" s="314" t="s">
        <v>225</v>
      </c>
      <c r="J50" s="314" t="s">
        <v>226</v>
      </c>
      <c r="K50" s="314" t="s">
        <v>227</v>
      </c>
      <c r="L50" s="314" t="s">
        <v>228</v>
      </c>
      <c r="M50" s="314" t="s">
        <v>279</v>
      </c>
      <c r="N50" s="313"/>
    </row>
    <row r="51" spans="2:14" ht="15.75" thickBot="1" x14ac:dyDescent="0.3">
      <c r="B51" s="263"/>
      <c r="C51" s="220"/>
      <c r="D51" s="220"/>
      <c r="E51" s="220"/>
      <c r="F51" s="220"/>
      <c r="G51" s="260"/>
      <c r="H51" s="313"/>
      <c r="I51" s="196">
        <f t="shared" ref="I51:M51" si="0">I47*I43*I39/100-I47</f>
        <v>47.775539999999992</v>
      </c>
      <c r="J51" s="196">
        <f t="shared" si="0"/>
        <v>29.177580000000162</v>
      </c>
      <c r="K51" s="196">
        <f t="shared" si="0"/>
        <v>22.611179999999997</v>
      </c>
      <c r="L51" s="196">
        <f t="shared" si="0"/>
        <v>17.511960000000002</v>
      </c>
      <c r="M51" s="196">
        <f t="shared" si="0"/>
        <v>10.922760000000004</v>
      </c>
      <c r="N51" s="313"/>
    </row>
    <row r="52" spans="2:14" ht="15.75" thickBot="1" x14ac:dyDescent="0.3">
      <c r="B52" s="264" t="s">
        <v>189</v>
      </c>
      <c r="C52" s="215" t="s">
        <v>190</v>
      </c>
      <c r="D52" s="215" t="s">
        <v>197</v>
      </c>
      <c r="E52" s="215" t="s">
        <v>181</v>
      </c>
      <c r="F52" s="215" t="s">
        <v>208</v>
      </c>
      <c r="G52" s="265" t="s">
        <v>240</v>
      </c>
      <c r="H52" s="313"/>
      <c r="I52" s="313"/>
      <c r="J52" s="313"/>
      <c r="K52" s="313"/>
      <c r="L52" s="313"/>
      <c r="M52" s="313"/>
      <c r="N52" s="313"/>
    </row>
    <row r="53" spans="2:14" ht="15.75" thickBot="1" x14ac:dyDescent="0.3">
      <c r="B53" s="266" t="s">
        <v>157</v>
      </c>
      <c r="C53" s="127">
        <v>2</v>
      </c>
      <c r="D53" s="127" t="s">
        <v>206</v>
      </c>
      <c r="E53" s="127" t="s">
        <v>288</v>
      </c>
      <c r="F53" s="127" t="s">
        <v>210</v>
      </c>
      <c r="G53" s="267" t="s">
        <v>288</v>
      </c>
      <c r="H53" s="313"/>
      <c r="I53" s="356" t="s">
        <v>416</v>
      </c>
      <c r="J53" s="348"/>
      <c r="K53" s="348"/>
      <c r="L53" s="348"/>
      <c r="M53" s="349"/>
      <c r="N53" s="313"/>
    </row>
    <row r="54" spans="2:14" ht="15.75" thickBot="1" x14ac:dyDescent="0.3">
      <c r="B54" s="263"/>
      <c r="C54" s="220"/>
      <c r="D54" s="220"/>
      <c r="E54" s="220"/>
      <c r="F54" s="220"/>
      <c r="G54" s="260"/>
      <c r="H54" s="313"/>
      <c r="I54" s="314" t="s">
        <v>225</v>
      </c>
      <c r="J54" s="314" t="s">
        <v>226</v>
      </c>
      <c r="K54" s="314" t="s">
        <v>227</v>
      </c>
      <c r="L54" s="314" t="s">
        <v>228</v>
      </c>
      <c r="M54" s="314" t="s">
        <v>279</v>
      </c>
      <c r="N54" s="313"/>
    </row>
    <row r="55" spans="2:14" s="86" customFormat="1" ht="15.75" thickBot="1" x14ac:dyDescent="0.3">
      <c r="B55" s="359" t="s">
        <v>229</v>
      </c>
      <c r="C55" s="360"/>
      <c r="D55" s="361"/>
      <c r="E55" s="220"/>
      <c r="F55" s="220"/>
      <c r="G55" s="260"/>
      <c r="H55" s="313"/>
      <c r="I55" s="196">
        <f t="shared" ref="I55:M55" si="1">$N$35*I43*I39/100-$N$35</f>
        <v>59.719424999999987</v>
      </c>
      <c r="J55" s="196">
        <f t="shared" si="1"/>
        <v>36.471975000000214</v>
      </c>
      <c r="K55" s="196">
        <f t="shared" si="1"/>
        <v>28.263975000000009</v>
      </c>
      <c r="L55" s="196">
        <f t="shared" si="1"/>
        <v>21.889949999999999</v>
      </c>
      <c r="M55" s="196">
        <f t="shared" si="1"/>
        <v>13.653449999999999</v>
      </c>
      <c r="N55" s="313"/>
    </row>
    <row r="56" spans="2:14" s="86" customFormat="1" ht="15.75" thickBot="1" x14ac:dyDescent="0.3">
      <c r="B56" s="264" t="s">
        <v>182</v>
      </c>
      <c r="C56" s="215" t="s">
        <v>50</v>
      </c>
      <c r="D56" s="216" t="s">
        <v>51</v>
      </c>
      <c r="E56" s="220"/>
      <c r="F56" s="220"/>
      <c r="G56" s="260"/>
      <c r="H56" s="313"/>
      <c r="I56" s="313"/>
      <c r="J56" s="313"/>
      <c r="K56" s="313"/>
      <c r="L56" s="313"/>
      <c r="M56" s="313"/>
      <c r="N56" s="313"/>
    </row>
    <row r="57" spans="2:14" ht="15.75" thickBot="1" x14ac:dyDescent="0.3">
      <c r="B57" s="268">
        <v>0</v>
      </c>
      <c r="C57" s="269">
        <v>0</v>
      </c>
      <c r="D57" s="269">
        <v>0</v>
      </c>
      <c r="E57" s="270"/>
      <c r="F57" s="270"/>
      <c r="G57" s="271"/>
      <c r="H57" s="313"/>
      <c r="I57" s="356" t="s">
        <v>395</v>
      </c>
      <c r="J57" s="348"/>
      <c r="K57" s="348"/>
      <c r="L57" s="348"/>
      <c r="M57" s="349"/>
      <c r="N57" s="313"/>
    </row>
    <row r="58" spans="2:14" ht="15.75" thickTop="1" x14ac:dyDescent="0.25">
      <c r="H58" s="313"/>
      <c r="I58" s="314" t="s">
        <v>225</v>
      </c>
      <c r="J58" s="314" t="s">
        <v>226</v>
      </c>
      <c r="K58" s="314" t="s">
        <v>227</v>
      </c>
      <c r="L58" s="314" t="s">
        <v>228</v>
      </c>
      <c r="M58" s="314" t="s">
        <v>279</v>
      </c>
      <c r="N58" s="313"/>
    </row>
    <row r="59" spans="2:14" x14ac:dyDescent="0.25">
      <c r="H59" s="313"/>
      <c r="I59" s="196">
        <f>(I35/100)*'CRIT TABLES'!N105</f>
        <v>24.666666666666671</v>
      </c>
      <c r="J59" s="196">
        <f>(J35/100)*'CRIT TABLES'!N110</f>
        <v>20.000000000000007</v>
      </c>
      <c r="K59" s="196">
        <f>(K35/100)*'CRIT TABLES'!N115</f>
        <v>26.333333333333339</v>
      </c>
      <c r="L59" s="196">
        <f>((L35+15)/100)*'CRIT TABLES'!N120</f>
        <v>25.595238095238091</v>
      </c>
      <c r="M59" s="196">
        <f>(M35/100)*'CRIT TABLES'!N126</f>
        <v>24.666666666666671</v>
      </c>
      <c r="N59" s="313"/>
    </row>
    <row r="60" spans="2:14" ht="21.75" thickBot="1" x14ac:dyDescent="0.3">
      <c r="B60" s="199" t="s">
        <v>407</v>
      </c>
      <c r="H60" s="313"/>
      <c r="I60" s="313"/>
      <c r="J60" s="313"/>
      <c r="K60" s="313"/>
      <c r="L60" s="313"/>
      <c r="M60" s="313"/>
      <c r="N60" s="313"/>
    </row>
    <row r="61" spans="2:14" ht="15.75" thickBot="1" x14ac:dyDescent="0.3">
      <c r="H61" s="313"/>
      <c r="I61" s="356" t="s">
        <v>396</v>
      </c>
      <c r="J61" s="348"/>
      <c r="K61" s="348"/>
      <c r="L61" s="348"/>
      <c r="M61" s="349"/>
      <c r="N61" s="313"/>
    </row>
    <row r="62" spans="2:14" ht="18.75" x14ac:dyDescent="0.25">
      <c r="B62" s="365" t="s">
        <v>364</v>
      </c>
      <c r="C62" s="366"/>
      <c r="H62" s="313"/>
      <c r="I62" s="314" t="s">
        <v>225</v>
      </c>
      <c r="J62" s="314" t="s">
        <v>226</v>
      </c>
      <c r="K62" s="314" t="s">
        <v>227</v>
      </c>
      <c r="L62" s="314" t="s">
        <v>228</v>
      </c>
      <c r="M62" s="314" t="s">
        <v>279</v>
      </c>
      <c r="N62" s="313"/>
    </row>
    <row r="63" spans="2:14" x14ac:dyDescent="0.25">
      <c r="B63" s="280" t="s">
        <v>308</v>
      </c>
      <c r="C63" s="281" t="s">
        <v>309</v>
      </c>
      <c r="H63" s="313"/>
      <c r="I63" s="196">
        <f>IF((I51+I47)*(1-$G$35/100)&lt;=0,0,(I51+I47)*(1-$G$35/100))</f>
        <v>53.113899599999996</v>
      </c>
      <c r="J63" s="196">
        <f>IF((J51+J47)*(1-$G$35/100)&lt;=0,0,(J51+J47)*(1-$G$35/100))</f>
        <v>39.35140920000012</v>
      </c>
      <c r="K63" s="196">
        <f>IF((K51+K47)*(1-$G$35/100)&lt;=0,0,(K51+K47)*(1-$G$35/100))</f>
        <v>34.4922732</v>
      </c>
      <c r="L63" s="196">
        <f>IF((L51+L47)*(1-$G$35/100)&lt;=0,0,(L51+L47)*(1-$G$35/100))</f>
        <v>30.718850400000001</v>
      </c>
      <c r="M63" s="196">
        <f>IF((M51+M47)*(1-$G$35/100)&lt;=0,0,(M51+M47)*(1-$G$35/100))</f>
        <v>25.842842400000002</v>
      </c>
      <c r="N63" s="313"/>
    </row>
    <row r="64" spans="2:14" ht="15.75" thickBot="1" x14ac:dyDescent="0.3">
      <c r="B64" s="197">
        <f>IF(N17="yes",((N30*(1-(G30)/100)))*1.1+K21,((N30*(1-(G30)/100)))+K21)</f>
        <v>-5.5813907999999994</v>
      </c>
      <c r="C64" s="198">
        <f>IF(N17="Yes",((O30*(1-(G30)/100)))*1.1+K21,((O30*(1-(G30)/100)))+K21)</f>
        <v>-5.5813907999999994</v>
      </c>
      <c r="H64" s="313"/>
      <c r="I64" s="313"/>
      <c r="J64" s="313"/>
      <c r="K64" s="313"/>
      <c r="L64" s="313"/>
      <c r="M64" s="313"/>
      <c r="N64" s="313"/>
    </row>
    <row r="65" spans="2:14" ht="15.75" thickBot="1" x14ac:dyDescent="0.3">
      <c r="H65" s="313"/>
      <c r="I65" s="356" t="s">
        <v>397</v>
      </c>
      <c r="J65" s="348"/>
      <c r="K65" s="348"/>
      <c r="L65" s="348"/>
      <c r="M65" s="349"/>
      <c r="N65" s="313"/>
    </row>
    <row r="66" spans="2:14" ht="21" x14ac:dyDescent="0.25">
      <c r="B66" s="353" t="s">
        <v>480</v>
      </c>
      <c r="C66" s="354"/>
      <c r="D66" s="354"/>
      <c r="E66" s="354"/>
      <c r="F66" s="355"/>
      <c r="H66" s="313"/>
      <c r="I66" s="314" t="s">
        <v>225</v>
      </c>
      <c r="J66" s="314" t="s">
        <v>226</v>
      </c>
      <c r="K66" s="314" t="s">
        <v>227</v>
      </c>
      <c r="L66" s="314" t="s">
        <v>228</v>
      </c>
      <c r="M66" s="314" t="s">
        <v>279</v>
      </c>
      <c r="N66" s="313"/>
    </row>
    <row r="67" spans="2:14" x14ac:dyDescent="0.25">
      <c r="B67" s="280" t="s">
        <v>225</v>
      </c>
      <c r="C67" s="307" t="s">
        <v>226</v>
      </c>
      <c r="D67" s="307" t="s">
        <v>227</v>
      </c>
      <c r="E67" s="307" t="s">
        <v>228</v>
      </c>
      <c r="F67" s="281" t="s">
        <v>279</v>
      </c>
      <c r="H67" s="313"/>
      <c r="I67" s="196">
        <f>(I55+$N$35)*(I59/100)</f>
        <v>22.130791500000001</v>
      </c>
      <c r="J67" s="196">
        <f>(J55+$N$35)*(J59/100)</f>
        <v>13.294395000000048</v>
      </c>
      <c r="K67" s="196">
        <f>(K55+$N$35)*(K59/100)</f>
        <v>15.342846750000007</v>
      </c>
      <c r="L67" s="196">
        <f>(L55+$N$35)*(L59/100)</f>
        <v>13.281356249999998</v>
      </c>
      <c r="M67" s="196">
        <f>(M55+$N$35)*(M59/100)</f>
        <v>10.767851000000002</v>
      </c>
      <c r="N67" s="313"/>
    </row>
    <row r="68" spans="2:14" ht="15.75" thickBot="1" x14ac:dyDescent="0.3">
      <c r="B68" s="305">
        <f>(I63+I67)*IF(N17="Yes",1.1,1)+K21</f>
        <v>75.244691099999997</v>
      </c>
      <c r="C68" s="305">
        <f>(J63+J67)*IF(N17="Yes",1.1,1)+K21</f>
        <v>52.645804200000171</v>
      </c>
      <c r="D68" s="305">
        <f>(K63+K67)*IF(N17="Yes",1.1,1)+K21</f>
        <v>49.835119950000006</v>
      </c>
      <c r="E68" s="305">
        <f>(L63+L67)*IF(N17="Yes",1.1,1)+K21</f>
        <v>44.000206649999996</v>
      </c>
      <c r="F68" s="306">
        <f>(M63+M67)*IF(N17="Yes",1.1,1)+K21</f>
        <v>36.610693400000002</v>
      </c>
      <c r="H68" s="313"/>
      <c r="I68" s="313"/>
      <c r="J68" s="313"/>
      <c r="K68" s="313"/>
      <c r="L68" s="313"/>
      <c r="M68" s="313"/>
      <c r="N68" s="313"/>
    </row>
    <row r="69" spans="2:14" ht="15.75" thickBot="1" x14ac:dyDescent="0.3">
      <c r="H69" s="313"/>
      <c r="I69" s="356" t="s">
        <v>460</v>
      </c>
      <c r="J69" s="348"/>
      <c r="K69" s="348"/>
      <c r="L69" s="348"/>
      <c r="M69" s="349"/>
      <c r="N69" s="313"/>
    </row>
    <row r="70" spans="2:14" ht="19.5" thickBot="1" x14ac:dyDescent="0.3">
      <c r="B70" s="350" t="s">
        <v>481</v>
      </c>
      <c r="C70" s="351"/>
      <c r="D70" s="351"/>
      <c r="E70" s="351"/>
      <c r="F70" s="351"/>
      <c r="G70" s="352"/>
      <c r="H70" s="316"/>
      <c r="I70" s="317" t="s">
        <v>225</v>
      </c>
      <c r="J70" s="314" t="s">
        <v>226</v>
      </c>
      <c r="K70" s="314" t="s">
        <v>227</v>
      </c>
      <c r="L70" s="314" t="s">
        <v>228</v>
      </c>
      <c r="M70" s="314" t="s">
        <v>279</v>
      </c>
      <c r="N70" s="313"/>
    </row>
    <row r="71" spans="2:14" ht="15.75" thickBot="1" x14ac:dyDescent="0.3">
      <c r="B71" s="335" t="s">
        <v>410</v>
      </c>
      <c r="C71" s="336" t="s">
        <v>464</v>
      </c>
      <c r="D71" s="335" t="s">
        <v>470</v>
      </c>
      <c r="E71" s="340" t="s">
        <v>398</v>
      </c>
      <c r="F71" s="334" t="s">
        <v>494</v>
      </c>
      <c r="G71" s="334" t="s">
        <v>495</v>
      </c>
      <c r="H71" s="299"/>
      <c r="I71" s="196">
        <f>(I35*0.01*I39/100)*'CRIT TABLES'!Z127</f>
        <v>19.437000000000001</v>
      </c>
      <c r="J71" s="196">
        <f>(J35*0.01*J39/100)*'CRIT TABLES'!Z132</f>
        <v>15.950500000000002</v>
      </c>
      <c r="K71" s="196">
        <f>(K35*0.01*K39/100)*'CRIT TABLES'!Z137</f>
        <v>13.167000000000005</v>
      </c>
      <c r="L71" s="196">
        <v>0</v>
      </c>
      <c r="M71" s="196">
        <v>0</v>
      </c>
      <c r="N71" s="313"/>
    </row>
    <row r="72" spans="2:14" ht="15.75" thickBot="1" x14ac:dyDescent="0.3">
      <c r="B72" s="335" t="s">
        <v>264</v>
      </c>
      <c r="C72" s="337">
        <f>I71/100*IF(E33="yes",0.5,1)</f>
        <v>0.19437000000000001</v>
      </c>
      <c r="D72" s="344">
        <f>I75/100*IF(E33="yes",0.5,1)</f>
        <v>0.28721996</v>
      </c>
      <c r="E72" s="341">
        <f>I59/100*I39/100</f>
        <v>0.21793000000000004</v>
      </c>
      <c r="F72" s="333">
        <v>0</v>
      </c>
      <c r="G72" s="333">
        <v>0</v>
      </c>
      <c r="H72" s="299"/>
      <c r="I72" s="313"/>
      <c r="J72" s="313"/>
      <c r="K72" s="313"/>
      <c r="L72" s="313"/>
      <c r="M72" s="313"/>
      <c r="N72" s="313"/>
    </row>
    <row r="73" spans="2:14" ht="15.75" thickBot="1" x14ac:dyDescent="0.3">
      <c r="B73" s="335" t="s">
        <v>265</v>
      </c>
      <c r="C73" s="338">
        <f>J71/100*IF(E33="yes",0.5,1)</f>
        <v>0.15950500000000001</v>
      </c>
      <c r="D73" s="345">
        <f>J75/100*IF(E33="yes",0.5,1)</f>
        <v>0.22545222666666667</v>
      </c>
      <c r="E73" s="342">
        <f>J59/100*J39/100</f>
        <v>0.13870000000000002</v>
      </c>
      <c r="F73" s="302">
        <v>0</v>
      </c>
      <c r="G73" s="302">
        <v>0</v>
      </c>
      <c r="H73" s="299"/>
      <c r="I73" s="348" t="s">
        <v>461</v>
      </c>
      <c r="J73" s="348"/>
      <c r="K73" s="348"/>
      <c r="L73" s="348"/>
      <c r="M73" s="349"/>
      <c r="N73" s="313"/>
    </row>
    <row r="74" spans="2:14" s="218" customFormat="1" ht="15.75" thickBot="1" x14ac:dyDescent="0.3">
      <c r="B74" s="335" t="s">
        <v>267</v>
      </c>
      <c r="C74" s="338">
        <f>K71/100*IF(E33="yes",0.5,1)</f>
        <v>0.13167000000000006</v>
      </c>
      <c r="D74" s="345">
        <f>K75/100*IF(E33="yes",0.5,1)</f>
        <v>0.229083855</v>
      </c>
      <c r="E74" s="342">
        <f>K59/100*K39/100</f>
        <v>0.15760500000000005</v>
      </c>
      <c r="F74" s="302">
        <v>0</v>
      </c>
      <c r="G74" s="302">
        <v>0</v>
      </c>
      <c r="H74" s="299"/>
      <c r="I74" s="317" t="s">
        <v>225</v>
      </c>
      <c r="J74" s="314" t="s">
        <v>226</v>
      </c>
      <c r="K74" s="314" t="s">
        <v>227</v>
      </c>
      <c r="L74" s="314" t="s">
        <v>228</v>
      </c>
      <c r="M74" s="314" t="s">
        <v>279</v>
      </c>
      <c r="N74" s="313"/>
    </row>
    <row r="75" spans="2:14" ht="15.75" thickBot="1" x14ac:dyDescent="0.3">
      <c r="B75" s="335" t="s">
        <v>268</v>
      </c>
      <c r="C75" s="338">
        <v>0</v>
      </c>
      <c r="D75" s="345">
        <v>0</v>
      </c>
      <c r="E75" s="342">
        <f>L59/100*L39/100</f>
        <v>0.1531875</v>
      </c>
      <c r="F75" s="302">
        <f>L79/100</f>
        <v>0.21951832191780821</v>
      </c>
      <c r="G75" s="302">
        <f>L83/100</f>
        <v>0.15312118811881187</v>
      </c>
      <c r="H75" s="299"/>
      <c r="I75" s="196">
        <f>(IF(I35&gt;=26,(101-I35),75)/100)*'CRIT TABLES'!Z157*(I39/100)</f>
        <v>28.721996000000001</v>
      </c>
      <c r="J75" s="196">
        <f>(IF(J35&gt;=26,(101-J35),75)/100)*'CRIT TABLES'!Z163*(J39/100)</f>
        <v>22.545222666666668</v>
      </c>
      <c r="K75" s="196">
        <f>(IF(K35&gt;=26,(101-K35),75)/100)*'CRIT TABLES'!Z169*(K39/100)</f>
        <v>22.908385500000001</v>
      </c>
      <c r="L75" s="196">
        <v>0</v>
      </c>
      <c r="M75" s="196">
        <f>(IF(M35&gt;=26,(101-M35),75)/100)*'CRIT TABLES'!Z176*(M39/100)</f>
        <v>17.899928500000001</v>
      </c>
      <c r="N75" s="313"/>
    </row>
    <row r="76" spans="2:14" ht="15.75" thickBot="1" x14ac:dyDescent="0.3">
      <c r="B76" s="335" t="s">
        <v>269</v>
      </c>
      <c r="C76" s="339">
        <v>0</v>
      </c>
      <c r="D76" s="346">
        <f>M75/100*IF(E33="yes",0.5,1)</f>
        <v>0.17899928500000001</v>
      </c>
      <c r="E76" s="343">
        <f>M59/100*M39/100</f>
        <v>0.12419666666666668</v>
      </c>
      <c r="F76" s="303">
        <v>0</v>
      </c>
      <c r="G76" s="303">
        <v>0</v>
      </c>
      <c r="H76" s="299"/>
      <c r="I76" s="313"/>
      <c r="J76" s="313"/>
      <c r="K76" s="313"/>
      <c r="L76" s="313"/>
      <c r="M76" s="313"/>
      <c r="N76" s="313"/>
    </row>
    <row r="77" spans="2:14" ht="15.75" thickBot="1" x14ac:dyDescent="0.3">
      <c r="H77" s="313"/>
      <c r="I77" s="348" t="s">
        <v>492</v>
      </c>
      <c r="J77" s="348"/>
      <c r="K77" s="348"/>
      <c r="L77" s="348"/>
      <c r="M77" s="349"/>
      <c r="N77" s="313"/>
    </row>
    <row r="78" spans="2:14" x14ac:dyDescent="0.25">
      <c r="H78" s="313"/>
      <c r="I78" s="317" t="s">
        <v>225</v>
      </c>
      <c r="J78" s="314" t="s">
        <v>226</v>
      </c>
      <c r="K78" s="314" t="s">
        <v>227</v>
      </c>
      <c r="L78" s="314" t="s">
        <v>228</v>
      </c>
      <c r="M78" s="314" t="s">
        <v>279</v>
      </c>
      <c r="N78" s="313"/>
    </row>
    <row r="79" spans="2:14" x14ac:dyDescent="0.25">
      <c r="I79" s="196">
        <v>0</v>
      </c>
      <c r="J79" s="196">
        <v>0</v>
      </c>
      <c r="K79" s="196">
        <v>0</v>
      </c>
      <c r="L79" s="196">
        <f>IF((IF(F33="yes",'CRIT TABLES'!Z222,'CRIT TABLES'!Z221))&gt;=0,(IF(F33="yes",'CRIT TABLES'!Z222,'CRIT TABLES'!Z221)),0)</f>
        <v>21.95183219178082</v>
      </c>
      <c r="M79" s="196">
        <v>0</v>
      </c>
    </row>
    <row r="80" spans="2:14" ht="15.75" thickBot="1" x14ac:dyDescent="0.3"/>
    <row r="81" spans="9:13" ht="15.75" thickBot="1" x14ac:dyDescent="0.3">
      <c r="I81" s="348" t="s">
        <v>493</v>
      </c>
      <c r="J81" s="348"/>
      <c r="K81" s="348"/>
      <c r="L81" s="348"/>
      <c r="M81" s="349"/>
    </row>
    <row r="82" spans="9:13" x14ac:dyDescent="0.25">
      <c r="I82" s="317" t="s">
        <v>225</v>
      </c>
      <c r="J82" s="314" t="s">
        <v>226</v>
      </c>
      <c r="K82" s="314" t="s">
        <v>227</v>
      </c>
      <c r="L82" s="314" t="s">
        <v>228</v>
      </c>
      <c r="M82" s="314" t="s">
        <v>279</v>
      </c>
    </row>
    <row r="83" spans="9:13" x14ac:dyDescent="0.25">
      <c r="I83" s="196">
        <v>0</v>
      </c>
      <c r="J83" s="196">
        <v>0</v>
      </c>
      <c r="K83" s="196">
        <v>0</v>
      </c>
      <c r="L83" s="196">
        <f>IF((IF(F33="yes",'CRIT TABLES'!Z201,'CRIT TABLES'!Z200))&gt;=0,(IF(F33="yes",'CRIT TABLES'!Z201,'CRIT TABLES'!Z200)),0)</f>
        <v>15.312118811881188</v>
      </c>
      <c r="M83" s="196">
        <v>0</v>
      </c>
    </row>
    <row r="226" spans="6:6" ht="15.75" thickBot="1" x14ac:dyDescent="0.3"/>
    <row r="227" spans="6:6" ht="21" x14ac:dyDescent="0.25">
      <c r="F227" s="304"/>
    </row>
    <row r="228" spans="6:6" x14ac:dyDescent="0.25">
      <c r="F228" s="282"/>
    </row>
    <row r="229" spans="6:6" ht="15.75" thickBot="1" x14ac:dyDescent="0.3">
      <c r="F229" s="283"/>
    </row>
  </sheetData>
  <mergeCells count="39">
    <mergeCell ref="Q31:R31"/>
    <mergeCell ref="O31:P31"/>
    <mergeCell ref="L28:M28"/>
    <mergeCell ref="J28:K28"/>
    <mergeCell ref="N28:O28"/>
    <mergeCell ref="N33:O33"/>
    <mergeCell ref="B11:C11"/>
    <mergeCell ref="D11:G11"/>
    <mergeCell ref="J23:K23"/>
    <mergeCell ref="B15:N15"/>
    <mergeCell ref="I33:M33"/>
    <mergeCell ref="I32:M32"/>
    <mergeCell ref="I27:M27"/>
    <mergeCell ref="G28:H28"/>
    <mergeCell ref="I19:L19"/>
    <mergeCell ref="B19:G19"/>
    <mergeCell ref="L23:M23"/>
    <mergeCell ref="B23:C23"/>
    <mergeCell ref="D23:E23"/>
    <mergeCell ref="F23:G23"/>
    <mergeCell ref="H23:I23"/>
    <mergeCell ref="I65:M65"/>
    <mergeCell ref="I37:M37"/>
    <mergeCell ref="I41:M41"/>
    <mergeCell ref="I45:M45"/>
    <mergeCell ref="B62:C62"/>
    <mergeCell ref="I53:M53"/>
    <mergeCell ref="B5:E5"/>
    <mergeCell ref="B55:D55"/>
    <mergeCell ref="I49:M49"/>
    <mergeCell ref="I57:M57"/>
    <mergeCell ref="I61:M61"/>
    <mergeCell ref="G33:H33"/>
    <mergeCell ref="I77:M77"/>
    <mergeCell ref="I81:M81"/>
    <mergeCell ref="B70:G70"/>
    <mergeCell ref="I73:M73"/>
    <mergeCell ref="B66:F66"/>
    <mergeCell ref="I69:M69"/>
  </mergeCells>
  <dataValidations count="32">
    <dataValidation type="list" allowBlank="1" showInputMessage="1" showErrorMessage="1" sqref="B53">
      <formula1>ARMORS1</formula1>
    </dataValidation>
    <dataValidation type="list" allowBlank="1" showInputMessage="1" showErrorMessage="1" sqref="C53">
      <formula1>TOUGHNESS1</formula1>
    </dataValidation>
    <dataValidation type="list" allowBlank="1" showInputMessage="1" showErrorMessage="1" sqref="B13">
      <formula1>WEAPONS</formula1>
    </dataValidation>
    <dataValidation type="list" allowBlank="1" showInputMessage="1" showErrorMessage="1" sqref="C13">
      <formula1>AMMOS</formula1>
    </dataValidation>
    <dataValidation type="list" allowBlank="1" showInputMessage="1" showErrorMessage="1" sqref="D53">
      <formula1>DefenceI</formula1>
    </dataValidation>
    <dataValidation type="list" allowBlank="1" showInputMessage="1" showErrorMessage="1" sqref="E53">
      <formula1>ANTICRITICAL</formula1>
    </dataValidation>
    <dataValidation type="list" allowBlank="1" showInputMessage="1" showErrorMessage="1" sqref="F53">
      <formula1>PSYCHO</formula1>
    </dataValidation>
    <dataValidation type="list" allowBlank="1" showInputMessage="1" showErrorMessage="1" sqref="F17">
      <formula1>AttackerImplants</formula1>
    </dataValidation>
    <dataValidation type="list" allowBlank="1" showInputMessage="1" showErrorMessage="1" sqref="B17">
      <formula1>LUCK</formula1>
    </dataValidation>
    <dataValidation type="list" allowBlank="1" showInputMessage="1" showErrorMessage="1" sqref="E17">
      <formula1>Glow</formula1>
    </dataValidation>
    <dataValidation type="list" allowBlank="1" showInputMessage="1" showErrorMessage="1" sqref="C17">
      <formula1>MoreCritical</formula1>
    </dataValidation>
    <dataValidation type="list" allowBlank="1" showInputMessage="1" showErrorMessage="1" sqref="D17">
      <formula1>BC</formula1>
    </dataValidation>
    <dataValidation type="list" allowBlank="1" showInputMessage="1" showErrorMessage="1" sqref="H17">
      <formula1>BRD</formula1>
    </dataValidation>
    <dataValidation type="list" allowBlank="1" showInputMessage="1" showErrorMessage="1" sqref="B57">
      <formula1>Treshold1</formula1>
    </dataValidation>
    <dataValidation type="list" allowBlank="1" showInputMessage="1" showErrorMessage="1" sqref="C57">
      <formula1>Resist</formula1>
    </dataValidation>
    <dataValidation type="list" allowBlank="1" showInputMessage="1" showErrorMessage="1" sqref="D57">
      <formula1>Anticrit</formula1>
    </dataValidation>
    <dataValidation type="list" allowBlank="1" showInputMessage="1" showErrorMessage="1" sqref="G53">
      <formula1>Mutant</formula1>
    </dataValidation>
    <dataValidation type="list" allowBlank="1" showInputMessage="1" showErrorMessage="1" sqref="J17">
      <formula1>Finesse</formula1>
    </dataValidation>
    <dataValidation type="list" allowBlank="1" showInputMessage="1" showErrorMessage="1" sqref="K17">
      <formula1>onehander</formula1>
    </dataValidation>
    <dataValidation type="list" allowBlank="1" showInputMessage="1" showErrorMessage="1" sqref="L17">
      <formula1>fastshot</formula1>
    </dataValidation>
    <dataValidation type="list" allowBlank="1" showInputMessage="1" showErrorMessage="1" sqref="M17">
      <formula1>Bruiser</formula1>
    </dataValidation>
    <dataValidation type="list" allowBlank="1" showInputMessage="1" showErrorMessage="1" sqref="N17">
      <formula1>kamikaze</formula1>
    </dataValidation>
    <dataValidation type="list" allowBlank="1" showInputMessage="1" showErrorMessage="1" sqref="G17">
      <formula1>living</formula1>
    </dataValidation>
    <dataValidation type="list" allowBlank="1" showInputMessage="1" showErrorMessage="1" sqref="I17">
      <formula1>pyro</formula1>
    </dataValidation>
    <dataValidation type="list" allowBlank="1" showInputMessage="1" showErrorMessage="1" sqref="D13:E13">
      <formula1>MeeleeDMG</formula1>
    </dataValidation>
    <dataValidation type="list" allowBlank="1" showInputMessage="1" showErrorMessage="1" sqref="F13">
      <formula1>critchance1</formula1>
    </dataValidation>
    <dataValidation type="list" allowBlank="1" showInputMessage="1" showErrorMessage="1" sqref="G13">
      <formula1>critroll1</formula1>
    </dataValidation>
    <dataValidation type="list" allowBlank="1" showInputMessage="1" showErrorMessage="1" sqref="B36">
      <formula1>bonehead</formula1>
    </dataValidation>
    <dataValidation type="list" allowBlank="1" showInputMessage="1" showErrorMessage="1" sqref="C36">
      <formula1>luck1</formula1>
    </dataValidation>
    <dataValidation type="list" allowBlank="1" showInputMessage="1" showErrorMessage="1" sqref="D36">
      <formula1>strenght</formula1>
    </dataValidation>
    <dataValidation type="list" allowBlank="1" showInputMessage="1" showErrorMessage="1" sqref="E36">
      <formula1>Endurance</formula1>
    </dataValidation>
    <dataValidation type="list" allowBlank="1" showInputMessage="1" showErrorMessage="1" sqref="E33:F33 F36">
      <formula1>Smallframe</formula1>
    </dataValidation>
  </dataValidations>
  <pageMargins left="0.7" right="0.7" top="0.75" bottom="0.75" header="0.3" footer="0.3"/>
  <pageSetup paperSize="9" orientation="portrait" horizontalDpi="4294967293" verticalDpi="0" r:id="rId1"/>
  <ignoredErrors>
    <ignoredError sqref="F75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938"/>
  <sheetViews>
    <sheetView topLeftCell="F181" workbookViewId="0">
      <selection activeCell="X207" sqref="X207"/>
    </sheetView>
  </sheetViews>
  <sheetFormatPr defaultRowHeight="15" x14ac:dyDescent="0.25"/>
  <cols>
    <col min="1" max="1" width="19.42578125" style="86" bestFit="1" customWidth="1"/>
    <col min="2" max="2" width="9.5703125" style="86" bestFit="1" customWidth="1"/>
    <col min="3" max="12" width="9.140625" style="86"/>
    <col min="13" max="13" width="11.85546875" style="86" bestFit="1" customWidth="1"/>
    <col min="14" max="14" width="11.140625" style="86" customWidth="1"/>
    <col min="15" max="15" width="9.140625" style="86"/>
    <col min="16" max="16" width="12" style="86" customWidth="1"/>
    <col min="17" max="17" width="12.85546875" style="86" customWidth="1"/>
    <col min="18" max="18" width="9.140625" style="86"/>
    <col min="19" max="19" width="11.5703125" style="86" bestFit="1" customWidth="1"/>
    <col min="20" max="21" width="9.140625" style="86"/>
    <col min="22" max="22" width="9.5703125" style="86" bestFit="1" customWidth="1"/>
    <col min="23" max="23" width="9.140625" style="86"/>
    <col min="24" max="24" width="12.5703125" style="86" bestFit="1" customWidth="1"/>
    <col min="25" max="25" width="10.7109375" style="86" customWidth="1"/>
    <col min="26" max="26" width="12" style="86" bestFit="1" customWidth="1"/>
    <col min="27" max="27" width="9.140625" style="86"/>
    <col min="28" max="28" width="12.85546875" style="86" customWidth="1"/>
    <col min="29" max="16384" width="9.140625" style="86"/>
  </cols>
  <sheetData>
    <row r="2" spans="2:15" ht="15.75" thickBot="1" x14ac:dyDescent="0.3"/>
    <row r="3" spans="2:15" ht="15.75" thickBot="1" x14ac:dyDescent="0.3">
      <c r="B3" s="389" t="s">
        <v>277</v>
      </c>
      <c r="C3" s="369"/>
      <c r="D3" s="369"/>
      <c r="E3" s="369"/>
      <c r="F3" s="369"/>
      <c r="G3" s="369"/>
      <c r="H3" s="368"/>
      <c r="I3" s="388" t="s">
        <v>315</v>
      </c>
      <c r="J3" s="377"/>
      <c r="K3" s="377"/>
      <c r="L3" s="377"/>
      <c r="M3" s="377"/>
    </row>
    <row r="4" spans="2:15" ht="15.75" thickBot="1" x14ac:dyDescent="0.3">
      <c r="B4" s="164"/>
      <c r="C4" s="171" t="s">
        <v>264</v>
      </c>
      <c r="D4" s="172" t="s">
        <v>265</v>
      </c>
      <c r="E4" s="172" t="s">
        <v>266</v>
      </c>
      <c r="F4" s="172" t="s">
        <v>267</v>
      </c>
      <c r="G4" s="172" t="s">
        <v>268</v>
      </c>
      <c r="H4" s="173" t="s">
        <v>269</v>
      </c>
      <c r="I4" s="388" t="s">
        <v>254</v>
      </c>
      <c r="J4" s="385"/>
      <c r="K4" s="190" t="s">
        <v>313</v>
      </c>
      <c r="L4" s="86" t="s">
        <v>314</v>
      </c>
      <c r="M4" s="86" t="s">
        <v>316</v>
      </c>
    </row>
    <row r="5" spans="2:15" x14ac:dyDescent="0.25">
      <c r="B5" s="136" t="s">
        <v>270</v>
      </c>
      <c r="C5" s="161">
        <v>2</v>
      </c>
      <c r="D5" s="162">
        <v>1.5</v>
      </c>
      <c r="E5" s="162">
        <v>1</v>
      </c>
      <c r="F5" s="162">
        <v>2</v>
      </c>
      <c r="G5" s="162">
        <v>1.5</v>
      </c>
      <c r="H5" s="163">
        <v>1.5</v>
      </c>
      <c r="I5" s="86">
        <v>0</v>
      </c>
      <c r="J5" s="86">
        <v>10</v>
      </c>
      <c r="K5" s="86">
        <f>J5-I5+1</f>
        <v>11</v>
      </c>
      <c r="L5" s="86">
        <f>E5</f>
        <v>1</v>
      </c>
      <c r="M5" s="86">
        <f>(L5*K5+L6*K6+L7*K7+L8*K8+L9*K9)/100</f>
        <v>1.5349999999999999</v>
      </c>
      <c r="O5"/>
    </row>
    <row r="6" spans="2:15" x14ac:dyDescent="0.25">
      <c r="B6" s="157" t="s">
        <v>271</v>
      </c>
      <c r="C6" s="158">
        <v>2.5</v>
      </c>
      <c r="D6" s="159">
        <v>2</v>
      </c>
      <c r="E6" s="159">
        <v>1.5</v>
      </c>
      <c r="F6" s="159">
        <v>2.5</v>
      </c>
      <c r="G6" s="159">
        <v>2</v>
      </c>
      <c r="H6" s="160">
        <v>2</v>
      </c>
      <c r="I6" s="86">
        <v>11</v>
      </c>
      <c r="J6" s="86">
        <v>25</v>
      </c>
      <c r="K6" s="86">
        <f t="shared" ref="K6:K9" si="0">J6-I6+1</f>
        <v>15</v>
      </c>
      <c r="L6" s="86">
        <f t="shared" ref="L6:L9" si="1">E6</f>
        <v>1.5</v>
      </c>
    </row>
    <row r="7" spans="2:15" x14ac:dyDescent="0.25">
      <c r="B7" s="138" t="s">
        <v>272</v>
      </c>
      <c r="C7" s="150">
        <v>3</v>
      </c>
      <c r="D7" s="151">
        <v>2.5</v>
      </c>
      <c r="E7" s="151">
        <v>1.5</v>
      </c>
      <c r="F7" s="151">
        <v>3</v>
      </c>
      <c r="G7" s="151">
        <v>2.5</v>
      </c>
      <c r="H7" s="152">
        <v>2.5</v>
      </c>
      <c r="I7" s="86">
        <v>26</v>
      </c>
      <c r="J7" s="86">
        <v>55</v>
      </c>
      <c r="K7" s="86">
        <f t="shared" si="0"/>
        <v>30</v>
      </c>
      <c r="L7" s="86">
        <f t="shared" si="1"/>
        <v>1.5</v>
      </c>
    </row>
    <row r="8" spans="2:15" x14ac:dyDescent="0.25">
      <c r="B8" s="137" t="s">
        <v>273</v>
      </c>
      <c r="C8" s="147">
        <v>3</v>
      </c>
      <c r="D8" s="148">
        <v>3</v>
      </c>
      <c r="E8" s="148">
        <v>1.5</v>
      </c>
      <c r="F8" s="148">
        <v>3</v>
      </c>
      <c r="G8" s="148">
        <v>3</v>
      </c>
      <c r="H8" s="149">
        <v>3</v>
      </c>
      <c r="I8" s="86">
        <v>56</v>
      </c>
      <c r="J8" s="86">
        <v>85</v>
      </c>
      <c r="K8" s="86">
        <f t="shared" si="0"/>
        <v>30</v>
      </c>
      <c r="L8" s="86">
        <f t="shared" si="1"/>
        <v>1.5</v>
      </c>
    </row>
    <row r="9" spans="2:15" x14ac:dyDescent="0.25">
      <c r="B9" s="153" t="s">
        <v>274</v>
      </c>
      <c r="C9" s="154">
        <v>3.5</v>
      </c>
      <c r="D9" s="155">
        <v>3.5</v>
      </c>
      <c r="E9" s="155">
        <v>2</v>
      </c>
      <c r="F9" s="155">
        <v>3.5</v>
      </c>
      <c r="G9" s="155">
        <v>3</v>
      </c>
      <c r="H9" s="156">
        <v>3</v>
      </c>
      <c r="I9" s="86">
        <v>86</v>
      </c>
      <c r="J9" s="86">
        <v>100</v>
      </c>
      <c r="K9" s="86">
        <f t="shared" si="0"/>
        <v>15</v>
      </c>
      <c r="L9" s="86">
        <f t="shared" si="1"/>
        <v>2</v>
      </c>
    </row>
    <row r="10" spans="2:15" x14ac:dyDescent="0.25">
      <c r="B10" s="143" t="s">
        <v>275</v>
      </c>
      <c r="C10" s="144">
        <v>4</v>
      </c>
      <c r="D10" s="145">
        <v>3.5</v>
      </c>
      <c r="E10" s="145">
        <v>2</v>
      </c>
      <c r="F10" s="145">
        <v>3.5</v>
      </c>
      <c r="G10" s="145">
        <v>3</v>
      </c>
      <c r="H10" s="146">
        <v>3</v>
      </c>
      <c r="I10" s="86">
        <v>101</v>
      </c>
      <c r="J10" s="86">
        <v>110</v>
      </c>
    </row>
    <row r="11" spans="2:15" ht="15.75" thickBot="1" x14ac:dyDescent="0.3">
      <c r="B11" s="139" t="s">
        <v>276</v>
      </c>
      <c r="C11" s="140">
        <v>4</v>
      </c>
      <c r="D11" s="141">
        <v>4</v>
      </c>
      <c r="E11" s="141">
        <v>2.5</v>
      </c>
      <c r="F11" s="141">
        <v>3.5</v>
      </c>
      <c r="G11" s="141">
        <v>3</v>
      </c>
      <c r="H11" s="142">
        <v>3</v>
      </c>
      <c r="I11" s="86">
        <v>111</v>
      </c>
      <c r="J11" s="86">
        <v>120</v>
      </c>
    </row>
    <row r="12" spans="2:15" x14ac:dyDescent="0.25">
      <c r="B12" s="135"/>
    </row>
    <row r="13" spans="2:15" x14ac:dyDescent="0.25">
      <c r="B13" s="135"/>
    </row>
    <row r="15" spans="2:15" ht="15.75" thickBot="1" x14ac:dyDescent="0.3"/>
    <row r="16" spans="2:15" ht="15.75" thickBot="1" x14ac:dyDescent="0.3">
      <c r="B16" s="390" t="s">
        <v>278</v>
      </c>
      <c r="C16" s="391"/>
      <c r="D16" s="391"/>
      <c r="E16" s="391"/>
      <c r="F16" s="391"/>
      <c r="G16" s="391"/>
      <c r="H16" s="391"/>
      <c r="I16" s="391"/>
      <c r="J16" s="391"/>
      <c r="K16" s="391"/>
      <c r="L16" s="392"/>
    </row>
    <row r="17" spans="1:14" ht="15.75" thickBot="1" x14ac:dyDescent="0.3">
      <c r="B17" s="132" t="s">
        <v>218</v>
      </c>
      <c r="C17" s="165">
        <v>1</v>
      </c>
      <c r="D17" s="166">
        <v>2</v>
      </c>
      <c r="E17" s="166">
        <v>3</v>
      </c>
      <c r="F17" s="166">
        <v>4</v>
      </c>
      <c r="G17" s="166">
        <v>5</v>
      </c>
      <c r="H17" s="166">
        <v>6</v>
      </c>
      <c r="I17" s="166">
        <v>7</v>
      </c>
      <c r="J17" s="166">
        <v>8</v>
      </c>
      <c r="K17" s="166">
        <v>9</v>
      </c>
      <c r="L17" s="167">
        <v>10</v>
      </c>
    </row>
    <row r="18" spans="1:14" x14ac:dyDescent="0.25">
      <c r="B18" s="168" t="s">
        <v>264</v>
      </c>
      <c r="C18" s="174">
        <f>60*(60+4*C$17)/100</f>
        <v>38.4</v>
      </c>
      <c r="D18" s="175">
        <f t="shared" ref="D18:L18" si="2">60*(60+4*D$17)/100</f>
        <v>40.799999999999997</v>
      </c>
      <c r="E18" s="175">
        <f t="shared" si="2"/>
        <v>43.2</v>
      </c>
      <c r="F18" s="175">
        <f t="shared" si="2"/>
        <v>45.6</v>
      </c>
      <c r="G18" s="175">
        <f t="shared" si="2"/>
        <v>48</v>
      </c>
      <c r="H18" s="175">
        <f t="shared" si="2"/>
        <v>50.4</v>
      </c>
      <c r="I18" s="175">
        <f t="shared" si="2"/>
        <v>52.8</v>
      </c>
      <c r="J18" s="175">
        <f t="shared" si="2"/>
        <v>55.2</v>
      </c>
      <c r="K18" s="175">
        <f t="shared" si="2"/>
        <v>57.6</v>
      </c>
      <c r="L18" s="175">
        <f t="shared" si="2"/>
        <v>60</v>
      </c>
    </row>
    <row r="19" spans="1:14" x14ac:dyDescent="0.25">
      <c r="B19" s="169" t="s">
        <v>265</v>
      </c>
      <c r="C19" s="176">
        <f>40*(60+4*C$17)/100</f>
        <v>25.6</v>
      </c>
      <c r="D19" s="177">
        <f t="shared" ref="D19:L19" si="3">40*(60+4*D$17)/100</f>
        <v>27.2</v>
      </c>
      <c r="E19" s="177">
        <f t="shared" si="3"/>
        <v>28.8</v>
      </c>
      <c r="F19" s="177">
        <f t="shared" si="3"/>
        <v>30.4</v>
      </c>
      <c r="G19" s="177">
        <f t="shared" si="3"/>
        <v>32</v>
      </c>
      <c r="H19" s="177">
        <f t="shared" si="3"/>
        <v>33.6</v>
      </c>
      <c r="I19" s="177">
        <f t="shared" si="3"/>
        <v>35.200000000000003</v>
      </c>
      <c r="J19" s="177">
        <f t="shared" si="3"/>
        <v>36.799999999999997</v>
      </c>
      <c r="K19" s="177">
        <f t="shared" si="3"/>
        <v>38.4</v>
      </c>
      <c r="L19" s="177">
        <f t="shared" si="3"/>
        <v>40</v>
      </c>
    </row>
    <row r="20" spans="1:14" x14ac:dyDescent="0.25">
      <c r="B20" s="169" t="s">
        <v>267</v>
      </c>
      <c r="C20" s="176">
        <f>30*(60+4*C$17)/100</f>
        <v>19.2</v>
      </c>
      <c r="D20" s="177">
        <f t="shared" ref="D20:L21" si="4">30*(60+4*D$17)/100</f>
        <v>20.399999999999999</v>
      </c>
      <c r="E20" s="177">
        <f t="shared" si="4"/>
        <v>21.6</v>
      </c>
      <c r="F20" s="177">
        <f t="shared" si="4"/>
        <v>22.8</v>
      </c>
      <c r="G20" s="177">
        <f t="shared" si="4"/>
        <v>24</v>
      </c>
      <c r="H20" s="177">
        <f t="shared" si="4"/>
        <v>25.2</v>
      </c>
      <c r="I20" s="177">
        <f t="shared" si="4"/>
        <v>26.4</v>
      </c>
      <c r="J20" s="177">
        <f t="shared" si="4"/>
        <v>27.6</v>
      </c>
      <c r="K20" s="177">
        <f t="shared" si="4"/>
        <v>28.8</v>
      </c>
      <c r="L20" s="177">
        <f t="shared" si="4"/>
        <v>30</v>
      </c>
    </row>
    <row r="21" spans="1:14" x14ac:dyDescent="0.25">
      <c r="B21" s="169" t="s">
        <v>268</v>
      </c>
      <c r="C21" s="176">
        <f>30*(60+4*C$17)/100</f>
        <v>19.2</v>
      </c>
      <c r="D21" s="177">
        <f t="shared" si="4"/>
        <v>20.399999999999999</v>
      </c>
      <c r="E21" s="177">
        <f t="shared" si="4"/>
        <v>21.6</v>
      </c>
      <c r="F21" s="177">
        <f t="shared" si="4"/>
        <v>22.8</v>
      </c>
      <c r="G21" s="177">
        <f t="shared" si="4"/>
        <v>24</v>
      </c>
      <c r="H21" s="177">
        <f t="shared" si="4"/>
        <v>25.2</v>
      </c>
      <c r="I21" s="177">
        <f t="shared" si="4"/>
        <v>26.4</v>
      </c>
      <c r="J21" s="177">
        <f t="shared" si="4"/>
        <v>27.6</v>
      </c>
      <c r="K21" s="177">
        <f t="shared" si="4"/>
        <v>28.8</v>
      </c>
      <c r="L21" s="177">
        <f t="shared" si="4"/>
        <v>30</v>
      </c>
    </row>
    <row r="22" spans="1:14" ht="15.75" thickBot="1" x14ac:dyDescent="0.3">
      <c r="B22" s="170" t="s">
        <v>269</v>
      </c>
      <c r="C22" s="176">
        <f>20*(60+4*C$17)/100</f>
        <v>12.8</v>
      </c>
      <c r="D22" s="177">
        <f t="shared" ref="D22:L22" si="5">20*(60+4*D$17)/100</f>
        <v>13.6</v>
      </c>
      <c r="E22" s="177">
        <f t="shared" si="5"/>
        <v>14.4</v>
      </c>
      <c r="F22" s="177">
        <f t="shared" si="5"/>
        <v>15.2</v>
      </c>
      <c r="G22" s="177">
        <f t="shared" si="5"/>
        <v>16</v>
      </c>
      <c r="H22" s="177">
        <f t="shared" si="5"/>
        <v>16.8</v>
      </c>
      <c r="I22" s="177">
        <f t="shared" si="5"/>
        <v>17.600000000000001</v>
      </c>
      <c r="J22" s="177">
        <f t="shared" si="5"/>
        <v>18.399999999999999</v>
      </c>
      <c r="K22" s="177">
        <f t="shared" si="5"/>
        <v>19.2</v>
      </c>
      <c r="L22" s="177">
        <f t="shared" si="5"/>
        <v>20</v>
      </c>
    </row>
    <row r="24" spans="1:14" x14ac:dyDescent="0.25">
      <c r="B24" s="178" t="s">
        <v>218</v>
      </c>
      <c r="C24" s="17">
        <f>'DMG PLANNER'!B17</f>
        <v>10</v>
      </c>
      <c r="H24" s="220"/>
    </row>
    <row r="26" spans="1:14" x14ac:dyDescent="0.25">
      <c r="B26" s="393" t="s">
        <v>280</v>
      </c>
      <c r="C26" s="393"/>
      <c r="D26" s="393"/>
      <c r="E26" s="393"/>
      <c r="F26" s="393"/>
      <c r="G26" s="393"/>
    </row>
    <row r="27" spans="1:14" x14ac:dyDescent="0.25">
      <c r="B27" s="123" t="s">
        <v>224</v>
      </c>
      <c r="C27" s="123" t="s">
        <v>225</v>
      </c>
      <c r="D27" s="123" t="s">
        <v>226</v>
      </c>
      <c r="E27" s="123" t="s">
        <v>227</v>
      </c>
      <c r="F27" s="123" t="s">
        <v>228</v>
      </c>
      <c r="G27" s="123" t="s">
        <v>279</v>
      </c>
    </row>
    <row r="28" spans="1:14" x14ac:dyDescent="0.25">
      <c r="B28" s="17"/>
      <c r="C28" s="17">
        <f>'CRIT TABLES'!C24+IF($C$24=1,C18,IF($C$24=2,D18,IF($C$24=3,E18,IF($C$24=4,F18,IF($C$24=5,G18,IF($C$24=6,H18,IF($C$24=7,I18,IF($C$24=8,J18,IF($C$24=9,K18,IF($C$24=10,L18))))))))))</f>
        <v>70</v>
      </c>
      <c r="D28" s="17">
        <f>'CRIT TABLES'!C24+IF($C$24=1,C19,IF($C$24=2,D19,IF($C$24=3,E19,IF($C$24=4,F19,IF($C$24=5,G19,IF($C$24=6,H19,IF($C$24=7,I19,IF($C$24=8,J19,IF($C$24=9,K19,IF($C$24=10,L19))))))))))</f>
        <v>50</v>
      </c>
      <c r="E28" s="17">
        <f>'CRIT TABLES'!C24+IF($C$24=1,C20,IF($C$24=2,D20,IF($C$24=3,E20,IF($C$24=4,F20,IF($C$24=5,G20,IF($C$24=6,H20,IF($C$24=7,I20,IF($C$24=8,J20,IF($C$24=9,K20,IF($C$24=10,L20))))))))))</f>
        <v>40</v>
      </c>
      <c r="F28" s="17">
        <f>'CRIT TABLES'!C24+IF($C$24=1,C21,IF($C$24=2,D21,IF($C$24=3,E21,IF($C$24=4,F21,IF($C$24=5,G21,IF($C$24=6,H21,IF($C$24=7,I21,IF($C$24=8,J21,IF($C$24=9,K21,IF($C$24=10,L21))))))))))</f>
        <v>40</v>
      </c>
      <c r="G28" s="17">
        <f>'CRIT TABLES'!C24+IF($C$24=1,C22,IF($C$24=2,D22,IF($C$24=3,E22,IF($C$24=4,F22,IF($C$24=5,G22,IF($C$24=6,H22,IF($C$24=7,I22,IF($C$24=8,J22,IF($C$24=9,K22,IF($C$24=10,L22))))))))))</f>
        <v>30</v>
      </c>
    </row>
    <row r="30" spans="1:14" x14ac:dyDescent="0.25">
      <c r="B30" s="191"/>
      <c r="C30" s="191"/>
      <c r="D30" s="191"/>
    </row>
    <row r="31" spans="1:14" x14ac:dyDescent="0.25">
      <c r="B31" s="86" t="s">
        <v>386</v>
      </c>
      <c r="N31"/>
    </row>
    <row r="32" spans="1:14" x14ac:dyDescent="0.25">
      <c r="A32" s="191"/>
      <c r="B32" s="386" t="s">
        <v>317</v>
      </c>
      <c r="C32" s="386"/>
      <c r="D32" s="386"/>
      <c r="E32" s="386"/>
      <c r="F32" s="386"/>
      <c r="G32" s="17"/>
      <c r="H32" s="17"/>
    </row>
    <row r="33" spans="1:29" x14ac:dyDescent="0.25">
      <c r="A33" s="191"/>
      <c r="B33" s="386" t="s">
        <v>254</v>
      </c>
      <c r="C33" s="386"/>
      <c r="D33" s="386" t="s">
        <v>254</v>
      </c>
      <c r="E33" s="386"/>
      <c r="F33" s="192" t="s">
        <v>313</v>
      </c>
      <c r="G33" s="17" t="s">
        <v>314</v>
      </c>
      <c r="H33" s="17" t="s">
        <v>316</v>
      </c>
    </row>
    <row r="34" spans="1:29" x14ac:dyDescent="0.25">
      <c r="B34" s="17">
        <v>0</v>
      </c>
      <c r="C34" s="17">
        <v>10</v>
      </c>
      <c r="D34" s="17">
        <v>1</v>
      </c>
      <c r="E34" s="17">
        <v>10</v>
      </c>
      <c r="F34" s="17">
        <f>E34-D34+1</f>
        <v>10</v>
      </c>
      <c r="G34" s="17">
        <v>1</v>
      </c>
      <c r="H34" s="17">
        <f>(F34*G34+F35*G35+F36*G36+F37*G37+F38*G38+F39*G39)/100</f>
        <v>1.5449999999999999</v>
      </c>
    </row>
    <row r="35" spans="1:29" x14ac:dyDescent="0.25">
      <c r="B35" s="17">
        <v>11</v>
      </c>
      <c r="C35" s="17">
        <v>25</v>
      </c>
      <c r="D35" s="17">
        <v>11</v>
      </c>
      <c r="E35" s="17">
        <v>25</v>
      </c>
      <c r="F35" s="17">
        <f t="shared" ref="F35:F39" si="6">E35-D35+1</f>
        <v>15</v>
      </c>
      <c r="G35" s="17">
        <v>1.5</v>
      </c>
      <c r="H35" s="17"/>
      <c r="P35" s="86" t="s">
        <v>264</v>
      </c>
      <c r="S35" s="86" t="s">
        <v>265</v>
      </c>
      <c r="V35" s="246" t="s">
        <v>227</v>
      </c>
      <c r="W35" s="246"/>
      <c r="Y35" s="246" t="s">
        <v>228</v>
      </c>
      <c r="Z35" s="246"/>
      <c r="AB35" s="86" t="s">
        <v>279</v>
      </c>
    </row>
    <row r="36" spans="1:29" x14ac:dyDescent="0.25">
      <c r="B36" s="17">
        <v>26</v>
      </c>
      <c r="C36" s="17">
        <v>55</v>
      </c>
      <c r="D36" s="17">
        <v>26</v>
      </c>
      <c r="E36" s="17">
        <v>55</v>
      </c>
      <c r="F36" s="17">
        <f t="shared" si="6"/>
        <v>30</v>
      </c>
      <c r="G36" s="17">
        <v>1.5</v>
      </c>
      <c r="H36" s="17"/>
      <c r="M36" s="386" t="s">
        <v>348</v>
      </c>
      <c r="N36" s="386"/>
      <c r="O36" s="190"/>
      <c r="P36" s="386" t="s">
        <v>419</v>
      </c>
      <c r="Q36" s="386"/>
      <c r="R36" s="191"/>
      <c r="S36" s="386" t="s">
        <v>419</v>
      </c>
      <c r="T36" s="386"/>
      <c r="U36" s="191"/>
      <c r="V36" s="386" t="s">
        <v>419</v>
      </c>
      <c r="W36" s="386"/>
      <c r="Y36" s="386" t="s">
        <v>419</v>
      </c>
      <c r="Z36" s="386"/>
      <c r="AB36" s="386" t="s">
        <v>419</v>
      </c>
      <c r="AC36" s="386"/>
    </row>
    <row r="37" spans="1:29" x14ac:dyDescent="0.25">
      <c r="B37" s="17">
        <v>56</v>
      </c>
      <c r="C37" s="17">
        <v>85</v>
      </c>
      <c r="D37" s="17">
        <v>56</v>
      </c>
      <c r="E37" s="17">
        <v>85</v>
      </c>
      <c r="F37" s="17">
        <f t="shared" si="6"/>
        <v>30</v>
      </c>
      <c r="G37" s="17">
        <v>1.5</v>
      </c>
      <c r="H37" s="17"/>
      <c r="M37" s="17" t="s">
        <v>349</v>
      </c>
      <c r="N37" s="17" t="s">
        <v>389</v>
      </c>
      <c r="P37" s="221" t="s">
        <v>349</v>
      </c>
      <c r="Q37" s="221" t="s">
        <v>389</v>
      </c>
      <c r="R37" s="193"/>
      <c r="S37" s="247" t="s">
        <v>349</v>
      </c>
      <c r="T37" s="247" t="s">
        <v>389</v>
      </c>
      <c r="U37" s="191"/>
      <c r="V37" s="247" t="s">
        <v>349</v>
      </c>
      <c r="W37" s="247" t="s">
        <v>389</v>
      </c>
      <c r="Y37" s="247" t="s">
        <v>349</v>
      </c>
      <c r="Z37" s="247" t="s">
        <v>389</v>
      </c>
      <c r="AB37" s="247" t="s">
        <v>349</v>
      </c>
      <c r="AC37" s="247" t="s">
        <v>389</v>
      </c>
    </row>
    <row r="38" spans="1:29" x14ac:dyDescent="0.25">
      <c r="B38" s="17">
        <v>86</v>
      </c>
      <c r="C38" s="17">
        <v>100</v>
      </c>
      <c r="D38" s="17">
        <v>86</v>
      </c>
      <c r="E38" s="17">
        <v>100</v>
      </c>
      <c r="F38" s="17">
        <f t="shared" si="6"/>
        <v>15</v>
      </c>
      <c r="G38" s="17">
        <v>2</v>
      </c>
      <c r="H38" s="17"/>
      <c r="M38" s="17">
        <v>0</v>
      </c>
      <c r="N38" s="17">
        <v>1.5349999999999999</v>
      </c>
      <c r="P38" s="221">
        <v>0</v>
      </c>
      <c r="Q38" s="221">
        <v>2.92</v>
      </c>
      <c r="R38" s="193"/>
      <c r="S38" s="247">
        <v>0</v>
      </c>
      <c r="T38" s="247">
        <v>2.64</v>
      </c>
      <c r="U38" s="191"/>
      <c r="V38" s="247">
        <v>0</v>
      </c>
      <c r="W38" s="247">
        <v>2.92</v>
      </c>
      <c r="Y38" s="247">
        <v>0</v>
      </c>
      <c r="Z38" s="247">
        <v>2.5649999999999999</v>
      </c>
      <c r="AB38" s="247">
        <v>0</v>
      </c>
      <c r="AC38" s="286">
        <v>2.5649999999999999</v>
      </c>
    </row>
    <row r="39" spans="1:29" x14ac:dyDescent="0.25">
      <c r="B39" s="17">
        <v>101</v>
      </c>
      <c r="C39" s="17">
        <v>110</v>
      </c>
      <c r="D39" s="17">
        <v>101</v>
      </c>
      <c r="E39" s="17">
        <v>101</v>
      </c>
      <c r="F39" s="17">
        <f t="shared" si="6"/>
        <v>1</v>
      </c>
      <c r="G39" s="17">
        <v>2</v>
      </c>
      <c r="H39" s="17"/>
      <c r="M39" s="17">
        <v>1</v>
      </c>
      <c r="N39" s="17">
        <v>1.5449999999999999</v>
      </c>
      <c r="P39" s="221">
        <v>1</v>
      </c>
      <c r="Q39" s="221">
        <v>2.94</v>
      </c>
      <c r="R39" s="191"/>
      <c r="S39" s="247">
        <v>1</v>
      </c>
      <c r="T39" s="247">
        <v>2.66</v>
      </c>
      <c r="U39" s="191"/>
      <c r="V39" s="247">
        <v>1</v>
      </c>
      <c r="W39" s="288">
        <v>2.9350000000000001</v>
      </c>
      <c r="Y39" s="247">
        <v>1</v>
      </c>
      <c r="Z39" s="286">
        <v>2.58</v>
      </c>
      <c r="AB39" s="247">
        <v>1</v>
      </c>
      <c r="AC39" s="286">
        <v>2.58</v>
      </c>
    </row>
    <row r="40" spans="1:29" x14ac:dyDescent="0.25">
      <c r="B40" s="17">
        <v>111</v>
      </c>
      <c r="C40" s="17">
        <v>120</v>
      </c>
      <c r="D40" s="17"/>
      <c r="E40" s="17"/>
      <c r="F40" s="17"/>
      <c r="G40" s="17"/>
      <c r="H40" s="17"/>
      <c r="M40" s="17">
        <v>2</v>
      </c>
      <c r="N40" s="17">
        <v>1.5549999999999999</v>
      </c>
      <c r="P40" s="221">
        <v>2</v>
      </c>
      <c r="Q40" s="221">
        <v>2.96</v>
      </c>
      <c r="R40" s="191"/>
      <c r="S40" s="247">
        <v>2</v>
      </c>
      <c r="T40" s="247">
        <v>2.68</v>
      </c>
      <c r="U40" s="191"/>
      <c r="V40" s="247">
        <v>2</v>
      </c>
      <c r="W40" s="247">
        <v>2.95</v>
      </c>
      <c r="Y40" s="247">
        <v>2</v>
      </c>
      <c r="Z40" s="286">
        <v>2.5950000000000002</v>
      </c>
      <c r="AB40" s="247">
        <v>2</v>
      </c>
      <c r="AC40" s="286">
        <v>2.5950000000000002</v>
      </c>
    </row>
    <row r="41" spans="1:29" x14ac:dyDescent="0.25">
      <c r="M41" s="17">
        <v>3</v>
      </c>
      <c r="N41" s="17">
        <v>1.5649999999999999</v>
      </c>
      <c r="P41" s="221">
        <v>3</v>
      </c>
      <c r="Q41" s="221">
        <v>2.98</v>
      </c>
      <c r="R41" s="191"/>
      <c r="S41" s="247">
        <v>3</v>
      </c>
      <c r="T41" s="247">
        <v>2.7</v>
      </c>
      <c r="U41" s="191"/>
      <c r="V41" s="247">
        <v>3</v>
      </c>
      <c r="W41" s="288">
        <v>2.9649999999999999</v>
      </c>
      <c r="Y41" s="247">
        <v>3</v>
      </c>
      <c r="Z41" s="286">
        <v>2.61</v>
      </c>
      <c r="AB41" s="247">
        <v>3</v>
      </c>
      <c r="AC41" s="286">
        <v>2.61</v>
      </c>
    </row>
    <row r="42" spans="1:29" x14ac:dyDescent="0.25">
      <c r="M42" s="17">
        <v>4</v>
      </c>
      <c r="N42" s="17">
        <v>1.575</v>
      </c>
      <c r="P42" s="221">
        <v>4</v>
      </c>
      <c r="Q42" s="221">
        <v>3</v>
      </c>
      <c r="R42" s="191"/>
      <c r="S42" s="247">
        <v>4</v>
      </c>
      <c r="T42" s="247">
        <v>2.72</v>
      </c>
      <c r="U42" s="191"/>
      <c r="V42" s="247">
        <v>4</v>
      </c>
      <c r="W42" s="247">
        <v>2.98</v>
      </c>
      <c r="Y42" s="247">
        <v>4</v>
      </c>
      <c r="Z42" s="286">
        <v>2.625</v>
      </c>
      <c r="AB42" s="247">
        <v>4</v>
      </c>
      <c r="AC42" s="286">
        <v>2.625</v>
      </c>
    </row>
    <row r="43" spans="1:29" x14ac:dyDescent="0.25">
      <c r="B43" s="386" t="s">
        <v>318</v>
      </c>
      <c r="C43" s="386"/>
      <c r="D43" s="386"/>
      <c r="E43" s="386"/>
      <c r="F43" s="386"/>
      <c r="G43" s="17"/>
      <c r="H43" s="17"/>
      <c r="M43" s="17">
        <v>5</v>
      </c>
      <c r="N43" s="17">
        <v>1.585</v>
      </c>
      <c r="P43" s="221">
        <v>5</v>
      </c>
      <c r="Q43" s="221">
        <v>3.02</v>
      </c>
      <c r="R43" s="191"/>
      <c r="S43" s="247">
        <v>5</v>
      </c>
      <c r="T43" s="247">
        <v>2.74</v>
      </c>
      <c r="U43" s="191"/>
      <c r="V43" s="247">
        <v>5</v>
      </c>
      <c r="W43" s="288">
        <v>2.9950000000000001</v>
      </c>
      <c r="Y43" s="247">
        <v>5</v>
      </c>
      <c r="Z43" s="286">
        <v>2.64</v>
      </c>
      <c r="AB43" s="247">
        <v>5</v>
      </c>
      <c r="AC43" s="286">
        <v>2.64</v>
      </c>
    </row>
    <row r="44" spans="1:29" x14ac:dyDescent="0.25">
      <c r="B44" s="386" t="s">
        <v>254</v>
      </c>
      <c r="C44" s="386"/>
      <c r="D44" s="386" t="s">
        <v>254</v>
      </c>
      <c r="E44" s="386"/>
      <c r="F44" s="192" t="s">
        <v>313</v>
      </c>
      <c r="G44" s="17" t="s">
        <v>314</v>
      </c>
      <c r="H44" s="17" t="s">
        <v>316</v>
      </c>
      <c r="M44" s="17">
        <v>6</v>
      </c>
      <c r="N44" s="17">
        <v>1.595</v>
      </c>
      <c r="P44" s="221">
        <v>6</v>
      </c>
      <c r="Q44" s="221">
        <v>3.04</v>
      </c>
      <c r="R44" s="191"/>
      <c r="S44" s="247">
        <v>6</v>
      </c>
      <c r="T44" s="247">
        <v>2.76</v>
      </c>
      <c r="U44" s="191"/>
      <c r="V44" s="247">
        <v>6</v>
      </c>
      <c r="W44" s="247">
        <v>3.01</v>
      </c>
      <c r="Y44" s="247">
        <v>6</v>
      </c>
      <c r="Z44" s="286">
        <v>2.6549999999999998</v>
      </c>
      <c r="AB44" s="247">
        <v>6</v>
      </c>
      <c r="AC44" s="286">
        <v>2.6549999999999998</v>
      </c>
    </row>
    <row r="45" spans="1:29" x14ac:dyDescent="0.25">
      <c r="B45" s="17">
        <v>0</v>
      </c>
      <c r="C45" s="17">
        <v>10</v>
      </c>
      <c r="D45" s="17">
        <v>2</v>
      </c>
      <c r="E45" s="17">
        <v>10</v>
      </c>
      <c r="F45" s="17">
        <f>E45-D45+1</f>
        <v>9</v>
      </c>
      <c r="G45" s="17">
        <v>1</v>
      </c>
      <c r="H45" s="17">
        <f>(F45*G45+F46*G46+F47*G47+F48*G48+F49*G49+F50*G50)/100</f>
        <v>1.5549999999999999</v>
      </c>
      <c r="M45" s="17">
        <v>7</v>
      </c>
      <c r="N45" s="17">
        <v>1.605</v>
      </c>
      <c r="P45" s="221">
        <v>7</v>
      </c>
      <c r="Q45" s="221">
        <v>3.06</v>
      </c>
      <c r="R45" s="191"/>
      <c r="S45" s="247">
        <v>7</v>
      </c>
      <c r="T45" s="247">
        <v>2.78</v>
      </c>
      <c r="U45" s="191"/>
      <c r="V45" s="247">
        <v>7</v>
      </c>
      <c r="W45" s="288">
        <v>3.0249999999999999</v>
      </c>
      <c r="Y45" s="247">
        <v>7</v>
      </c>
      <c r="Z45" s="286">
        <v>2.67</v>
      </c>
      <c r="AB45" s="247">
        <v>7</v>
      </c>
      <c r="AC45" s="286">
        <v>2.67</v>
      </c>
    </row>
    <row r="46" spans="1:29" x14ac:dyDescent="0.25">
      <c r="B46" s="17">
        <v>11</v>
      </c>
      <c r="C46" s="17">
        <v>25</v>
      </c>
      <c r="D46" s="17">
        <v>11</v>
      </c>
      <c r="E46" s="17">
        <v>25</v>
      </c>
      <c r="F46" s="17">
        <f t="shared" ref="F46:F50" si="7">E46-D46+1</f>
        <v>15</v>
      </c>
      <c r="G46" s="17">
        <v>1.5</v>
      </c>
      <c r="H46" s="17"/>
      <c r="M46" s="17">
        <v>8</v>
      </c>
      <c r="N46" s="17">
        <v>1.615</v>
      </c>
      <c r="P46" s="221">
        <v>8</v>
      </c>
      <c r="Q46" s="221">
        <v>3.08</v>
      </c>
      <c r="S46" s="247">
        <v>8</v>
      </c>
      <c r="T46" s="247">
        <v>2.8</v>
      </c>
      <c r="V46" s="247">
        <v>8</v>
      </c>
      <c r="W46" s="247">
        <v>3.04</v>
      </c>
      <c r="Y46" s="247">
        <v>8</v>
      </c>
      <c r="Z46" s="286">
        <v>2.6850000000000001</v>
      </c>
      <c r="AB46" s="247">
        <v>8</v>
      </c>
      <c r="AC46" s="286">
        <v>2.6850000000000001</v>
      </c>
    </row>
    <row r="47" spans="1:29" x14ac:dyDescent="0.25">
      <c r="B47" s="17">
        <v>26</v>
      </c>
      <c r="C47" s="17">
        <v>55</v>
      </c>
      <c r="D47" s="17">
        <v>26</v>
      </c>
      <c r="E47" s="17">
        <v>55</v>
      </c>
      <c r="F47" s="17">
        <f t="shared" si="7"/>
        <v>30</v>
      </c>
      <c r="G47" s="17">
        <v>1.5</v>
      </c>
      <c r="H47" s="17"/>
      <c r="M47" s="17">
        <v>9</v>
      </c>
      <c r="N47" s="17">
        <v>1.625</v>
      </c>
      <c r="P47" s="221">
        <v>9</v>
      </c>
      <c r="Q47" s="221">
        <v>3.1</v>
      </c>
      <c r="S47" s="247">
        <v>9</v>
      </c>
      <c r="T47" s="247">
        <v>2.82</v>
      </c>
      <c r="V47" s="247">
        <v>9</v>
      </c>
      <c r="W47" s="288">
        <v>3.0550000000000002</v>
      </c>
      <c r="Y47" s="247">
        <v>9</v>
      </c>
      <c r="Z47" s="286">
        <v>2.7</v>
      </c>
      <c r="AB47" s="247">
        <v>9</v>
      </c>
      <c r="AC47" s="286">
        <v>2.7</v>
      </c>
    </row>
    <row r="48" spans="1:29" x14ac:dyDescent="0.25">
      <c r="B48" s="17">
        <v>56</v>
      </c>
      <c r="C48" s="17">
        <v>85</v>
      </c>
      <c r="D48" s="17">
        <v>56</v>
      </c>
      <c r="E48" s="17">
        <v>85</v>
      </c>
      <c r="F48" s="17">
        <f t="shared" si="7"/>
        <v>30</v>
      </c>
      <c r="G48" s="17">
        <v>1.5</v>
      </c>
      <c r="H48" s="17"/>
      <c r="M48" s="17">
        <v>10</v>
      </c>
      <c r="N48" s="17">
        <v>1.635</v>
      </c>
      <c r="P48" s="221">
        <v>10</v>
      </c>
      <c r="Q48" s="221">
        <v>3.12</v>
      </c>
      <c r="S48" s="247">
        <v>10</v>
      </c>
      <c r="T48" s="247">
        <v>2.84</v>
      </c>
      <c r="V48" s="247">
        <v>10</v>
      </c>
      <c r="W48" s="247">
        <v>3.07</v>
      </c>
      <c r="Y48" s="247">
        <v>10</v>
      </c>
      <c r="Z48" s="286">
        <v>2.7149999999999999</v>
      </c>
      <c r="AB48" s="247">
        <v>10</v>
      </c>
      <c r="AC48" s="286">
        <v>2.7149999999999999</v>
      </c>
    </row>
    <row r="49" spans="2:29" x14ac:dyDescent="0.25">
      <c r="B49" s="17">
        <v>86</v>
      </c>
      <c r="C49" s="17">
        <v>100</v>
      </c>
      <c r="D49" s="17">
        <v>86</v>
      </c>
      <c r="E49" s="17">
        <v>100</v>
      </c>
      <c r="F49" s="17">
        <f t="shared" si="7"/>
        <v>15</v>
      </c>
      <c r="G49" s="17">
        <v>2</v>
      </c>
      <c r="H49" s="17"/>
      <c r="M49" s="17">
        <v>11</v>
      </c>
      <c r="N49" s="17">
        <v>1.65</v>
      </c>
      <c r="P49" s="221">
        <v>11</v>
      </c>
      <c r="Q49" s="221">
        <v>3.14</v>
      </c>
      <c r="S49" s="247">
        <v>11</v>
      </c>
      <c r="T49" s="247">
        <v>2.8650000000000002</v>
      </c>
      <c r="V49" s="247">
        <v>11</v>
      </c>
      <c r="W49" s="288">
        <v>3.085</v>
      </c>
      <c r="Y49" s="247">
        <v>11</v>
      </c>
      <c r="Z49" s="286">
        <v>2.73</v>
      </c>
      <c r="AB49" s="247">
        <v>11</v>
      </c>
      <c r="AC49" s="286">
        <v>2.73</v>
      </c>
    </row>
    <row r="50" spans="2:29" x14ac:dyDescent="0.25">
      <c r="B50" s="17">
        <v>101</v>
      </c>
      <c r="C50" s="17">
        <v>110</v>
      </c>
      <c r="D50" s="17">
        <v>101</v>
      </c>
      <c r="E50" s="17">
        <v>102</v>
      </c>
      <c r="F50" s="17">
        <f t="shared" si="7"/>
        <v>2</v>
      </c>
      <c r="G50" s="17">
        <v>2</v>
      </c>
      <c r="H50" s="17"/>
      <c r="M50" s="17">
        <v>12</v>
      </c>
      <c r="N50" s="17">
        <v>1.66</v>
      </c>
      <c r="P50" s="221">
        <v>12</v>
      </c>
      <c r="Q50" s="221">
        <v>3.1549999999999998</v>
      </c>
      <c r="S50" s="247">
        <v>12</v>
      </c>
      <c r="T50" s="247">
        <v>2.8849999999999998</v>
      </c>
      <c r="V50" s="247">
        <v>12</v>
      </c>
      <c r="W50" s="247">
        <v>3.0950000000000002</v>
      </c>
      <c r="Y50" s="247">
        <v>12</v>
      </c>
      <c r="Z50" s="286">
        <v>2.74</v>
      </c>
      <c r="AB50" s="247">
        <v>12</v>
      </c>
      <c r="AC50" s="286">
        <v>2.74</v>
      </c>
    </row>
    <row r="51" spans="2:29" x14ac:dyDescent="0.25">
      <c r="B51" s="17">
        <v>111</v>
      </c>
      <c r="C51" s="17">
        <v>120</v>
      </c>
      <c r="D51" s="17"/>
      <c r="E51" s="17"/>
      <c r="F51" s="17"/>
      <c r="G51" s="17"/>
      <c r="H51" s="17"/>
      <c r="M51" s="17">
        <v>13</v>
      </c>
      <c r="N51" s="17">
        <v>1.67</v>
      </c>
      <c r="P51" s="221">
        <v>13</v>
      </c>
      <c r="Q51" s="221">
        <v>3.17</v>
      </c>
      <c r="S51" s="247">
        <v>13</v>
      </c>
      <c r="T51" s="247">
        <v>2.9049999999999998</v>
      </c>
      <c r="V51" s="247">
        <v>13</v>
      </c>
      <c r="W51" s="288">
        <v>3.105</v>
      </c>
      <c r="Y51" s="247">
        <v>13</v>
      </c>
      <c r="Z51" s="286">
        <v>2.75</v>
      </c>
      <c r="AB51" s="247">
        <v>13</v>
      </c>
      <c r="AC51" s="286">
        <v>2.75</v>
      </c>
    </row>
    <row r="52" spans="2:29" x14ac:dyDescent="0.25">
      <c r="M52" s="17">
        <v>14</v>
      </c>
      <c r="N52" s="17">
        <v>1.68</v>
      </c>
      <c r="P52" s="221">
        <v>14</v>
      </c>
      <c r="Q52" s="221">
        <v>3.1850000000000001</v>
      </c>
      <c r="S52" s="247">
        <v>14</v>
      </c>
      <c r="T52" s="247">
        <v>2.9249999999999998</v>
      </c>
      <c r="V52" s="247">
        <v>14</v>
      </c>
      <c r="W52" s="247">
        <v>3.1150000000000002</v>
      </c>
      <c r="Y52" s="247">
        <v>14</v>
      </c>
      <c r="Z52" s="286">
        <v>2.76</v>
      </c>
      <c r="AB52" s="247">
        <v>14</v>
      </c>
      <c r="AC52" s="286">
        <v>2.76</v>
      </c>
    </row>
    <row r="53" spans="2:29" x14ac:dyDescent="0.25">
      <c r="B53" s="386" t="s">
        <v>320</v>
      </c>
      <c r="C53" s="386"/>
      <c r="D53" s="386"/>
      <c r="E53" s="386"/>
      <c r="F53" s="386"/>
      <c r="G53" s="17"/>
      <c r="H53" s="17"/>
      <c r="M53" s="17">
        <v>15</v>
      </c>
      <c r="N53" s="17">
        <v>1.69</v>
      </c>
      <c r="P53" s="221">
        <v>15</v>
      </c>
      <c r="Q53" s="221">
        <v>3.2</v>
      </c>
      <c r="S53" s="247">
        <v>15</v>
      </c>
      <c r="T53" s="247">
        <v>2.9449999999999998</v>
      </c>
      <c r="V53" s="247">
        <v>15</v>
      </c>
      <c r="W53" s="288">
        <v>3.125</v>
      </c>
      <c r="Y53" s="247">
        <v>15</v>
      </c>
      <c r="Z53" s="286">
        <v>2.77</v>
      </c>
      <c r="AB53" s="247">
        <v>15</v>
      </c>
      <c r="AC53" s="286">
        <v>2.77</v>
      </c>
    </row>
    <row r="54" spans="2:29" x14ac:dyDescent="0.25">
      <c r="B54" s="386" t="s">
        <v>254</v>
      </c>
      <c r="C54" s="386"/>
      <c r="D54" s="386" t="s">
        <v>254</v>
      </c>
      <c r="E54" s="386"/>
      <c r="F54" s="192" t="s">
        <v>313</v>
      </c>
      <c r="G54" s="17" t="s">
        <v>314</v>
      </c>
      <c r="H54" s="17" t="s">
        <v>316</v>
      </c>
      <c r="M54" s="17">
        <v>16</v>
      </c>
      <c r="N54" s="17">
        <v>1.7</v>
      </c>
      <c r="P54" s="221">
        <v>16</v>
      </c>
      <c r="Q54" s="221">
        <v>3.2149999999999999</v>
      </c>
      <c r="S54" s="247">
        <v>16</v>
      </c>
      <c r="T54" s="247">
        <v>2.9649999999999999</v>
      </c>
      <c r="V54" s="247">
        <v>16</v>
      </c>
      <c r="W54" s="247">
        <v>3.1349999999999998</v>
      </c>
      <c r="Y54" s="247">
        <v>16</v>
      </c>
      <c r="Z54" s="286">
        <v>2.78</v>
      </c>
      <c r="AB54" s="247">
        <v>16</v>
      </c>
      <c r="AC54" s="286">
        <v>2.78</v>
      </c>
    </row>
    <row r="55" spans="2:29" x14ac:dyDescent="0.25">
      <c r="B55" s="17">
        <v>0</v>
      </c>
      <c r="C55" s="17">
        <v>10</v>
      </c>
      <c r="D55" s="17">
        <v>3</v>
      </c>
      <c r="E55" s="17">
        <v>10</v>
      </c>
      <c r="F55" s="17">
        <f>E55-D55+1</f>
        <v>8</v>
      </c>
      <c r="G55" s="17">
        <v>1</v>
      </c>
      <c r="H55" s="17">
        <f>(F55*G55+F56*G56+F57*G57+F58*G58+F59*G59+F60*G60)/100</f>
        <v>1.5649999999999999</v>
      </c>
      <c r="M55" s="17">
        <v>17</v>
      </c>
      <c r="N55" s="17">
        <v>1.71</v>
      </c>
      <c r="P55" s="221">
        <v>17</v>
      </c>
      <c r="Q55" s="221">
        <v>3.23</v>
      </c>
      <c r="S55" s="247">
        <v>17</v>
      </c>
      <c r="T55" s="247">
        <v>2.9849999999999999</v>
      </c>
      <c r="V55" s="247">
        <v>17</v>
      </c>
      <c r="W55" s="288">
        <v>3.145</v>
      </c>
      <c r="Y55" s="247">
        <v>17</v>
      </c>
      <c r="Z55" s="286">
        <v>2.79</v>
      </c>
      <c r="AB55" s="247">
        <v>17</v>
      </c>
      <c r="AC55" s="286">
        <v>2.79</v>
      </c>
    </row>
    <row r="56" spans="2:29" x14ac:dyDescent="0.25">
      <c r="B56" s="17">
        <v>11</v>
      </c>
      <c r="C56" s="17">
        <v>25</v>
      </c>
      <c r="D56" s="17">
        <v>11</v>
      </c>
      <c r="E56" s="17">
        <v>25</v>
      </c>
      <c r="F56" s="17">
        <f t="shared" ref="F56:F60" si="8">E56-D56+1</f>
        <v>15</v>
      </c>
      <c r="G56" s="17">
        <v>1.5</v>
      </c>
      <c r="H56" s="17"/>
      <c r="M56" s="17">
        <v>18</v>
      </c>
      <c r="N56" s="17">
        <v>1.72</v>
      </c>
      <c r="P56" s="221">
        <v>18</v>
      </c>
      <c r="Q56" s="221">
        <v>3.2450000000000001</v>
      </c>
      <c r="S56" s="247">
        <v>18</v>
      </c>
      <c r="T56" s="247">
        <v>3.0049999999999999</v>
      </c>
      <c r="V56" s="247">
        <v>18</v>
      </c>
      <c r="W56" s="247">
        <v>3.1549999999999998</v>
      </c>
      <c r="Y56" s="247">
        <v>18</v>
      </c>
      <c r="Z56" s="286">
        <v>2.8</v>
      </c>
      <c r="AB56" s="247">
        <v>18</v>
      </c>
      <c r="AC56" s="286">
        <v>2.8</v>
      </c>
    </row>
    <row r="57" spans="2:29" x14ac:dyDescent="0.25">
      <c r="B57" s="17">
        <v>26</v>
      </c>
      <c r="C57" s="17">
        <v>55</v>
      </c>
      <c r="D57" s="17">
        <v>26</v>
      </c>
      <c r="E57" s="17">
        <v>55</v>
      </c>
      <c r="F57" s="17">
        <f t="shared" si="8"/>
        <v>30</v>
      </c>
      <c r="G57" s="17">
        <v>1.5</v>
      </c>
      <c r="H57" s="17"/>
      <c r="M57" s="17">
        <v>19</v>
      </c>
      <c r="N57" s="17">
        <v>1.73</v>
      </c>
      <c r="P57" s="221">
        <v>19</v>
      </c>
      <c r="Q57" s="221">
        <v>3.26</v>
      </c>
      <c r="S57" s="247">
        <v>19</v>
      </c>
      <c r="T57" s="247">
        <v>3.0249999999999999</v>
      </c>
      <c r="V57" s="247">
        <v>19</v>
      </c>
      <c r="W57" s="288">
        <v>3.165</v>
      </c>
      <c r="Y57" s="247">
        <v>19</v>
      </c>
      <c r="Z57" s="286">
        <v>2.81</v>
      </c>
      <c r="AB57" s="247">
        <v>19</v>
      </c>
      <c r="AC57" s="286">
        <v>2.81</v>
      </c>
    </row>
    <row r="58" spans="2:29" x14ac:dyDescent="0.25">
      <c r="B58" s="17">
        <v>56</v>
      </c>
      <c r="C58" s="17">
        <v>85</v>
      </c>
      <c r="D58" s="17">
        <v>56</v>
      </c>
      <c r="E58" s="17">
        <v>85</v>
      </c>
      <c r="F58" s="17">
        <f t="shared" si="8"/>
        <v>30</v>
      </c>
      <c r="G58" s="17">
        <v>1.5</v>
      </c>
      <c r="H58" s="17"/>
      <c r="M58" s="17">
        <v>20</v>
      </c>
      <c r="N58" s="17">
        <v>1.74</v>
      </c>
      <c r="P58" s="221">
        <v>20</v>
      </c>
      <c r="Q58" s="221">
        <v>3.2749999999999999</v>
      </c>
      <c r="S58" s="247">
        <v>20</v>
      </c>
      <c r="T58" s="247">
        <v>3.0449999999999999</v>
      </c>
      <c r="V58" s="247">
        <v>20</v>
      </c>
      <c r="W58" s="247">
        <v>3.1749999999999998</v>
      </c>
      <c r="Y58" s="247">
        <v>20</v>
      </c>
      <c r="Z58" s="286">
        <v>2.82</v>
      </c>
      <c r="AB58" s="247">
        <v>20</v>
      </c>
      <c r="AC58" s="286">
        <v>2.82</v>
      </c>
    </row>
    <row r="59" spans="2:29" x14ac:dyDescent="0.25">
      <c r="B59" s="17">
        <v>86</v>
      </c>
      <c r="C59" s="17">
        <v>100</v>
      </c>
      <c r="D59" s="17">
        <v>86</v>
      </c>
      <c r="E59" s="17">
        <v>100</v>
      </c>
      <c r="F59" s="17">
        <f t="shared" si="8"/>
        <v>15</v>
      </c>
      <c r="G59" s="17">
        <v>2</v>
      </c>
      <c r="H59" s="17"/>
      <c r="M59" s="17">
        <v>21</v>
      </c>
      <c r="N59" s="17">
        <v>1.75</v>
      </c>
      <c r="P59" s="221">
        <v>21</v>
      </c>
      <c r="Q59" s="221">
        <v>3.29</v>
      </c>
      <c r="S59" s="247">
        <v>21</v>
      </c>
      <c r="T59" s="247">
        <v>3.0649999999999999</v>
      </c>
      <c r="V59" s="247">
        <v>21</v>
      </c>
      <c r="W59" s="288">
        <v>3.1850000000000001</v>
      </c>
      <c r="Y59" s="247">
        <v>21</v>
      </c>
      <c r="Z59" s="286">
        <v>2.83</v>
      </c>
      <c r="AB59" s="247">
        <v>21</v>
      </c>
      <c r="AC59" s="286">
        <v>2.83</v>
      </c>
    </row>
    <row r="60" spans="2:29" x14ac:dyDescent="0.25">
      <c r="B60" s="17">
        <v>101</v>
      </c>
      <c r="C60" s="17">
        <v>110</v>
      </c>
      <c r="D60" s="17">
        <v>101</v>
      </c>
      <c r="E60" s="17">
        <v>103</v>
      </c>
      <c r="F60" s="17">
        <f t="shared" si="8"/>
        <v>3</v>
      </c>
      <c r="G60" s="17">
        <v>2</v>
      </c>
      <c r="H60" s="17"/>
      <c r="M60" s="17">
        <v>22</v>
      </c>
      <c r="N60" s="17">
        <v>1.76</v>
      </c>
      <c r="P60" s="221">
        <v>22</v>
      </c>
      <c r="Q60" s="221">
        <v>3.3050000000000002</v>
      </c>
      <c r="S60" s="247">
        <v>22</v>
      </c>
      <c r="T60" s="247">
        <v>3.085</v>
      </c>
      <c r="V60" s="247">
        <v>22</v>
      </c>
      <c r="W60" s="247">
        <v>3.1949999999999998</v>
      </c>
      <c r="Y60" s="247">
        <v>22</v>
      </c>
      <c r="Z60" s="286">
        <v>2.84</v>
      </c>
      <c r="AB60" s="247">
        <v>22</v>
      </c>
      <c r="AC60" s="286">
        <v>2.84</v>
      </c>
    </row>
    <row r="61" spans="2:29" x14ac:dyDescent="0.25">
      <c r="B61" s="17">
        <v>111</v>
      </c>
      <c r="C61" s="17">
        <v>120</v>
      </c>
      <c r="D61" s="17"/>
      <c r="E61" s="17"/>
      <c r="F61" s="17"/>
      <c r="G61" s="17"/>
      <c r="H61" s="17"/>
      <c r="M61" s="17">
        <v>23</v>
      </c>
      <c r="N61" s="17">
        <v>1.77</v>
      </c>
      <c r="P61" s="221">
        <v>23</v>
      </c>
      <c r="Q61" s="221">
        <v>3.32</v>
      </c>
      <c r="S61" s="247">
        <v>23</v>
      </c>
      <c r="T61" s="247">
        <v>3.105</v>
      </c>
      <c r="V61" s="247">
        <v>23</v>
      </c>
      <c r="W61" s="288">
        <v>3.2050000000000001</v>
      </c>
      <c r="Y61" s="247">
        <v>23</v>
      </c>
      <c r="Z61" s="286">
        <v>2.85</v>
      </c>
      <c r="AB61" s="247">
        <v>23</v>
      </c>
      <c r="AC61" s="286">
        <v>2.85</v>
      </c>
    </row>
    <row r="62" spans="2:29" x14ac:dyDescent="0.25">
      <c r="M62" s="17">
        <v>24</v>
      </c>
      <c r="N62" s="17">
        <v>1.78</v>
      </c>
      <c r="P62" s="221">
        <v>24</v>
      </c>
      <c r="Q62" s="221">
        <v>3.335</v>
      </c>
      <c r="S62" s="247">
        <v>24</v>
      </c>
      <c r="T62" s="247">
        <v>3.1249999999999898</v>
      </c>
      <c r="V62" s="247">
        <v>24</v>
      </c>
      <c r="W62" s="247">
        <v>3.2149999999999999</v>
      </c>
      <c r="Y62" s="247">
        <v>24</v>
      </c>
      <c r="Z62" s="286">
        <v>2.86</v>
      </c>
      <c r="AB62" s="247">
        <v>24</v>
      </c>
      <c r="AC62" s="286">
        <v>2.86</v>
      </c>
    </row>
    <row r="63" spans="2:29" x14ac:dyDescent="0.25">
      <c r="B63" s="386" t="s">
        <v>321</v>
      </c>
      <c r="C63" s="386"/>
      <c r="D63" s="386"/>
      <c r="E63" s="386"/>
      <c r="F63" s="386"/>
      <c r="G63" s="17"/>
      <c r="H63" s="17"/>
      <c r="M63" s="17">
        <v>25</v>
      </c>
      <c r="N63" s="17">
        <v>1.79</v>
      </c>
      <c r="P63" s="221">
        <v>25</v>
      </c>
      <c r="Q63" s="221">
        <v>3.35</v>
      </c>
      <c r="S63" s="247">
        <v>25</v>
      </c>
      <c r="T63" s="247">
        <v>3.1449999999999898</v>
      </c>
      <c r="V63" s="247">
        <v>25</v>
      </c>
      <c r="W63" s="247">
        <v>3.2250000000000001</v>
      </c>
      <c r="Y63" s="247">
        <v>25</v>
      </c>
      <c r="Z63" s="286">
        <v>2.87</v>
      </c>
      <c r="AB63" s="247">
        <v>25</v>
      </c>
      <c r="AC63" s="286">
        <v>2.87</v>
      </c>
    </row>
    <row r="64" spans="2:29" x14ac:dyDescent="0.25">
      <c r="B64" s="386" t="s">
        <v>254</v>
      </c>
      <c r="C64" s="386"/>
      <c r="D64" s="386" t="s">
        <v>254</v>
      </c>
      <c r="E64" s="386"/>
      <c r="F64" s="192" t="s">
        <v>313</v>
      </c>
      <c r="G64" s="17" t="s">
        <v>314</v>
      </c>
      <c r="H64" s="17" t="s">
        <v>316</v>
      </c>
      <c r="M64" s="17">
        <v>26</v>
      </c>
      <c r="N64" s="17">
        <v>1.8</v>
      </c>
      <c r="P64" s="221">
        <v>26</v>
      </c>
      <c r="Q64" s="221">
        <v>3.3650000000000002</v>
      </c>
      <c r="S64" s="247">
        <v>26</v>
      </c>
      <c r="T64" s="247">
        <v>3.1649999999999898</v>
      </c>
      <c r="V64" s="247">
        <v>26</v>
      </c>
      <c r="W64" s="288">
        <v>3.2349999999999999</v>
      </c>
      <c r="Y64" s="247">
        <v>26</v>
      </c>
      <c r="Z64" s="286">
        <v>2.88</v>
      </c>
      <c r="AB64" s="247">
        <v>26</v>
      </c>
      <c r="AC64" s="286">
        <v>2.88</v>
      </c>
    </row>
    <row r="65" spans="2:29" x14ac:dyDescent="0.25">
      <c r="B65" s="17">
        <v>0</v>
      </c>
      <c r="C65" s="17">
        <v>10</v>
      </c>
      <c r="D65" s="17">
        <v>4</v>
      </c>
      <c r="E65" s="17">
        <v>10</v>
      </c>
      <c r="F65" s="17">
        <f>E65-D65+1</f>
        <v>7</v>
      </c>
      <c r="G65" s="17">
        <v>1</v>
      </c>
      <c r="H65" s="17">
        <f>(F65*G65+F66*G66+F67*G67+F68*G68+F69*G69+F70*G70)/100</f>
        <v>1.575</v>
      </c>
      <c r="M65" s="17">
        <v>27</v>
      </c>
      <c r="N65" s="17">
        <v>1.81</v>
      </c>
      <c r="P65" s="221">
        <v>27</v>
      </c>
      <c r="Q65" s="221">
        <v>3.375</v>
      </c>
      <c r="S65" s="247">
        <v>27</v>
      </c>
      <c r="T65" s="247">
        <v>3.18</v>
      </c>
      <c r="V65" s="247">
        <v>27</v>
      </c>
      <c r="W65" s="247">
        <v>3.24</v>
      </c>
      <c r="Y65" s="247">
        <v>27</v>
      </c>
      <c r="Z65" s="247">
        <v>2.8849999999999998</v>
      </c>
      <c r="AB65" s="247">
        <v>27</v>
      </c>
      <c r="AC65" s="286">
        <v>2.8849999999999998</v>
      </c>
    </row>
    <row r="66" spans="2:29" x14ac:dyDescent="0.25">
      <c r="B66" s="17">
        <v>11</v>
      </c>
      <c r="C66" s="17">
        <v>25</v>
      </c>
      <c r="D66" s="17">
        <v>11</v>
      </c>
      <c r="E66" s="17">
        <v>25</v>
      </c>
      <c r="F66" s="17">
        <f t="shared" ref="F66:F70" si="9">E66-D66+1</f>
        <v>15</v>
      </c>
      <c r="G66" s="17">
        <v>1.5</v>
      </c>
      <c r="H66" s="17"/>
      <c r="M66" s="17">
        <v>28</v>
      </c>
      <c r="N66" s="17">
        <v>1.82</v>
      </c>
      <c r="P66" s="221">
        <v>28</v>
      </c>
      <c r="Q66" s="221">
        <v>3.3849999999999998</v>
      </c>
      <c r="S66" s="247">
        <v>28</v>
      </c>
      <c r="T66" s="247">
        <v>3.1950000000000101</v>
      </c>
      <c r="V66" s="247">
        <v>28</v>
      </c>
      <c r="W66" s="288">
        <v>3.2450000000000001</v>
      </c>
      <c r="Y66" s="247">
        <v>28</v>
      </c>
      <c r="Z66" s="247">
        <v>2.89</v>
      </c>
      <c r="AB66" s="247">
        <v>28</v>
      </c>
      <c r="AC66" s="286">
        <v>2.89</v>
      </c>
    </row>
    <row r="67" spans="2:29" x14ac:dyDescent="0.25">
      <c r="B67" s="17">
        <v>26</v>
      </c>
      <c r="C67" s="17">
        <v>55</v>
      </c>
      <c r="D67" s="17">
        <v>26</v>
      </c>
      <c r="E67" s="17">
        <v>55</v>
      </c>
      <c r="F67" s="17">
        <f t="shared" si="9"/>
        <v>30</v>
      </c>
      <c r="G67" s="17">
        <v>1.5</v>
      </c>
      <c r="H67" s="17"/>
      <c r="M67" s="17">
        <v>29</v>
      </c>
      <c r="N67" s="17">
        <v>1.83</v>
      </c>
      <c r="P67" s="221">
        <v>29</v>
      </c>
      <c r="Q67" s="221">
        <v>3.395</v>
      </c>
      <c r="S67" s="247">
        <v>29</v>
      </c>
      <c r="T67" s="247">
        <v>3.2100000000000199</v>
      </c>
      <c r="V67" s="247">
        <v>29</v>
      </c>
      <c r="W67" s="247">
        <v>3.25</v>
      </c>
      <c r="Y67" s="247">
        <v>29</v>
      </c>
      <c r="Z67" s="247">
        <v>2.895</v>
      </c>
      <c r="AB67" s="247">
        <v>29</v>
      </c>
      <c r="AC67" s="286">
        <v>2.895</v>
      </c>
    </row>
    <row r="68" spans="2:29" x14ac:dyDescent="0.25">
      <c r="B68" s="17">
        <v>56</v>
      </c>
      <c r="C68" s="17">
        <v>85</v>
      </c>
      <c r="D68" s="17">
        <v>56</v>
      </c>
      <c r="E68" s="17">
        <v>85</v>
      </c>
      <c r="F68" s="17">
        <f t="shared" si="9"/>
        <v>30</v>
      </c>
      <c r="G68" s="17">
        <v>1.5</v>
      </c>
      <c r="H68" s="17"/>
      <c r="M68" s="17">
        <v>30</v>
      </c>
      <c r="N68" s="17">
        <v>1.84</v>
      </c>
      <c r="P68" s="221">
        <v>30</v>
      </c>
      <c r="Q68" s="221">
        <v>3.4049999999999998</v>
      </c>
      <c r="S68" s="247">
        <v>30</v>
      </c>
      <c r="T68" s="247">
        <v>3.2250000000000298</v>
      </c>
      <c r="V68" s="247">
        <v>30</v>
      </c>
      <c r="W68" s="288">
        <v>3.2549999999999999</v>
      </c>
      <c r="Y68" s="247">
        <v>30</v>
      </c>
      <c r="Z68" s="286">
        <v>2.9</v>
      </c>
      <c r="AB68" s="247">
        <v>30</v>
      </c>
      <c r="AC68" s="286">
        <v>2.9</v>
      </c>
    </row>
    <row r="69" spans="2:29" x14ac:dyDescent="0.25">
      <c r="B69" s="17">
        <v>86</v>
      </c>
      <c r="C69" s="17">
        <v>100</v>
      </c>
      <c r="D69" s="17">
        <v>86</v>
      </c>
      <c r="E69" s="17">
        <v>100</v>
      </c>
      <c r="F69" s="17">
        <f t="shared" si="9"/>
        <v>15</v>
      </c>
      <c r="G69" s="17">
        <v>2</v>
      </c>
      <c r="H69" s="17"/>
      <c r="M69" s="17">
        <v>31</v>
      </c>
      <c r="N69" s="17">
        <v>1.85</v>
      </c>
      <c r="P69" s="221">
        <v>31</v>
      </c>
      <c r="Q69" s="221">
        <v>3.415</v>
      </c>
      <c r="S69" s="247">
        <v>31</v>
      </c>
      <c r="T69" s="247">
        <v>3.2400000000000402</v>
      </c>
      <c r="V69" s="247">
        <v>31</v>
      </c>
      <c r="W69" s="247">
        <v>3.26</v>
      </c>
      <c r="Y69" s="247">
        <v>31</v>
      </c>
      <c r="Z69" s="286">
        <v>2.9049999999999998</v>
      </c>
      <c r="AB69" s="247">
        <v>31</v>
      </c>
      <c r="AC69" s="286">
        <v>2.9049999999999998</v>
      </c>
    </row>
    <row r="70" spans="2:29" x14ac:dyDescent="0.25">
      <c r="B70" s="17">
        <v>101</v>
      </c>
      <c r="C70" s="17">
        <v>110</v>
      </c>
      <c r="D70" s="17">
        <v>101</v>
      </c>
      <c r="E70" s="17">
        <v>104</v>
      </c>
      <c r="F70" s="17">
        <f t="shared" si="9"/>
        <v>4</v>
      </c>
      <c r="G70" s="17">
        <v>2</v>
      </c>
      <c r="H70" s="17"/>
      <c r="M70" s="17">
        <v>32</v>
      </c>
      <c r="N70" s="17">
        <v>1.86</v>
      </c>
      <c r="P70" s="221">
        <v>32</v>
      </c>
      <c r="Q70" s="221">
        <v>3.4249999999999998</v>
      </c>
      <c r="S70" s="247">
        <v>32</v>
      </c>
      <c r="T70" s="247">
        <v>3.2550000000000501</v>
      </c>
      <c r="V70" s="247">
        <v>32</v>
      </c>
      <c r="W70" s="288">
        <v>3.2650000000000001</v>
      </c>
      <c r="Y70" s="247">
        <v>32</v>
      </c>
      <c r="Z70" s="286">
        <v>2.91</v>
      </c>
      <c r="AB70" s="247">
        <v>32</v>
      </c>
      <c r="AC70" s="286">
        <v>2.91</v>
      </c>
    </row>
    <row r="71" spans="2:29" x14ac:dyDescent="0.25">
      <c r="B71" s="17">
        <v>111</v>
      </c>
      <c r="C71" s="17">
        <v>120</v>
      </c>
      <c r="D71" s="17"/>
      <c r="E71" s="17"/>
      <c r="F71" s="17"/>
      <c r="G71" s="17"/>
      <c r="H71" s="17"/>
      <c r="M71" s="17">
        <v>33</v>
      </c>
      <c r="N71" s="17">
        <v>1.87</v>
      </c>
      <c r="P71" s="221">
        <v>33</v>
      </c>
      <c r="Q71" s="221">
        <v>3.4350000000000001</v>
      </c>
      <c r="S71" s="247">
        <v>33</v>
      </c>
      <c r="T71" s="247">
        <v>3.27000000000006</v>
      </c>
      <c r="V71" s="247">
        <v>33</v>
      </c>
      <c r="W71" s="247">
        <v>3.27</v>
      </c>
      <c r="Y71" s="247">
        <v>33</v>
      </c>
      <c r="Z71" s="286">
        <v>2.915</v>
      </c>
      <c r="AB71" s="247">
        <v>33</v>
      </c>
      <c r="AC71" s="286">
        <v>2.915</v>
      </c>
    </row>
    <row r="72" spans="2:29" x14ac:dyDescent="0.25">
      <c r="M72" s="17">
        <v>34</v>
      </c>
      <c r="N72" s="17">
        <v>1.88</v>
      </c>
      <c r="P72" s="221">
        <v>34</v>
      </c>
      <c r="Q72" s="221">
        <v>3.4449999999999998</v>
      </c>
      <c r="S72" s="247">
        <v>34</v>
      </c>
      <c r="T72" s="247">
        <v>3.2850000000000699</v>
      </c>
      <c r="V72" s="247">
        <v>34</v>
      </c>
      <c r="W72" s="288">
        <v>3.2749999999999999</v>
      </c>
      <c r="Y72" s="247">
        <v>34</v>
      </c>
      <c r="Z72" s="286">
        <v>2.92</v>
      </c>
      <c r="AB72" s="247">
        <v>34</v>
      </c>
      <c r="AC72" s="286">
        <v>2.92</v>
      </c>
    </row>
    <row r="73" spans="2:29" x14ac:dyDescent="0.25">
      <c r="B73" s="386" t="s">
        <v>322</v>
      </c>
      <c r="C73" s="386"/>
      <c r="D73" s="386"/>
      <c r="E73" s="386"/>
      <c r="F73" s="386"/>
      <c r="G73" s="17"/>
      <c r="H73" s="17"/>
      <c r="M73" s="17">
        <v>35</v>
      </c>
      <c r="N73" s="17">
        <v>1.89</v>
      </c>
      <c r="P73" s="221">
        <v>35</v>
      </c>
      <c r="Q73" s="221">
        <v>3.4550000000000001</v>
      </c>
      <c r="S73" s="247">
        <v>35</v>
      </c>
      <c r="T73" s="247">
        <v>3.3000000000000802</v>
      </c>
      <c r="V73" s="247">
        <v>35</v>
      </c>
      <c r="W73" s="247">
        <v>3.28</v>
      </c>
      <c r="Y73" s="247">
        <v>35</v>
      </c>
      <c r="Z73" s="286">
        <v>2.9249999999999998</v>
      </c>
      <c r="AB73" s="247">
        <v>35</v>
      </c>
      <c r="AC73" s="286">
        <v>2.9249999999999998</v>
      </c>
    </row>
    <row r="74" spans="2:29" x14ac:dyDescent="0.25">
      <c r="B74" s="386" t="s">
        <v>254</v>
      </c>
      <c r="C74" s="386"/>
      <c r="D74" s="386" t="s">
        <v>254</v>
      </c>
      <c r="E74" s="386"/>
      <c r="F74" s="192" t="s">
        <v>313</v>
      </c>
      <c r="G74" s="17" t="s">
        <v>314</v>
      </c>
      <c r="H74" s="17" t="s">
        <v>316</v>
      </c>
      <c r="M74" s="17">
        <v>36</v>
      </c>
      <c r="N74" s="17">
        <v>1.9</v>
      </c>
      <c r="P74" s="221">
        <v>36</v>
      </c>
      <c r="Q74" s="221">
        <v>3.4649999999999999</v>
      </c>
      <c r="S74" s="247">
        <v>36</v>
      </c>
      <c r="T74" s="247">
        <v>3.3150000000000901</v>
      </c>
      <c r="V74" s="247">
        <v>36</v>
      </c>
      <c r="W74" s="288">
        <v>3.2850000000000001</v>
      </c>
      <c r="Y74" s="247">
        <v>36</v>
      </c>
      <c r="Z74" s="286">
        <v>2.93</v>
      </c>
      <c r="AB74" s="247">
        <v>36</v>
      </c>
      <c r="AC74" s="286">
        <v>2.93</v>
      </c>
    </row>
    <row r="75" spans="2:29" x14ac:dyDescent="0.25">
      <c r="B75" s="17">
        <v>0</v>
      </c>
      <c r="C75" s="17">
        <v>10</v>
      </c>
      <c r="D75" s="17">
        <v>5</v>
      </c>
      <c r="E75" s="17">
        <v>10</v>
      </c>
      <c r="F75" s="17">
        <f>E75-D75+1</f>
        <v>6</v>
      </c>
      <c r="G75" s="17">
        <v>1</v>
      </c>
      <c r="H75" s="17">
        <f>(F75*G75+F76*G76+F77*G77+F78*G78+F79*G79+F80*G80)/100</f>
        <v>1.585</v>
      </c>
      <c r="M75" s="17">
        <v>37</v>
      </c>
      <c r="N75" s="17">
        <v>1.91</v>
      </c>
      <c r="P75" s="221">
        <v>37</v>
      </c>
      <c r="Q75" s="221">
        <v>3.4750000000000001</v>
      </c>
      <c r="S75" s="247">
        <v>37</v>
      </c>
      <c r="T75" s="247">
        <v>3.3300000000001</v>
      </c>
      <c r="V75" s="247">
        <v>37</v>
      </c>
      <c r="W75" s="247">
        <v>3.29</v>
      </c>
      <c r="Y75" s="247">
        <v>37</v>
      </c>
      <c r="Z75" s="286">
        <v>2.9350000000000001</v>
      </c>
      <c r="AB75" s="247">
        <v>37</v>
      </c>
      <c r="AC75" s="286">
        <v>2.9350000000000001</v>
      </c>
    </row>
    <row r="76" spans="2:29" x14ac:dyDescent="0.25">
      <c r="B76" s="17">
        <v>11</v>
      </c>
      <c r="C76" s="17">
        <v>25</v>
      </c>
      <c r="D76" s="17">
        <v>11</v>
      </c>
      <c r="E76" s="17">
        <v>25</v>
      </c>
      <c r="F76" s="17">
        <f t="shared" ref="F76:F80" si="10">E76-D76+1</f>
        <v>15</v>
      </c>
      <c r="G76" s="17">
        <v>1.5</v>
      </c>
      <c r="H76" s="17"/>
      <c r="M76" s="17">
        <v>38</v>
      </c>
      <c r="N76" s="17">
        <v>1.92</v>
      </c>
      <c r="P76" s="221">
        <v>38</v>
      </c>
      <c r="Q76" s="221">
        <v>3.4849999999999999</v>
      </c>
      <c r="S76" s="247">
        <v>38</v>
      </c>
      <c r="T76" s="247">
        <v>3.3450000000001099</v>
      </c>
      <c r="V76" s="247">
        <v>38</v>
      </c>
      <c r="W76" s="288">
        <v>3.2949999999999999</v>
      </c>
      <c r="Y76" s="247">
        <v>38</v>
      </c>
      <c r="Z76" s="286">
        <v>2.94</v>
      </c>
      <c r="AB76" s="247">
        <v>38</v>
      </c>
      <c r="AC76" s="286">
        <v>2.94</v>
      </c>
    </row>
    <row r="77" spans="2:29" x14ac:dyDescent="0.25">
      <c r="B77" s="17">
        <v>26</v>
      </c>
      <c r="C77" s="17">
        <v>55</v>
      </c>
      <c r="D77" s="17">
        <v>26</v>
      </c>
      <c r="E77" s="17">
        <v>55</v>
      </c>
      <c r="F77" s="17">
        <f t="shared" si="10"/>
        <v>30</v>
      </c>
      <c r="G77" s="17">
        <v>1.5</v>
      </c>
      <c r="H77" s="17"/>
      <c r="M77" s="17">
        <v>39</v>
      </c>
      <c r="N77" s="17">
        <v>1.93</v>
      </c>
      <c r="P77" s="221">
        <v>39</v>
      </c>
      <c r="Q77" s="221">
        <v>3.4950000000000001</v>
      </c>
      <c r="S77" s="247">
        <v>39</v>
      </c>
      <c r="T77" s="247">
        <v>3.3600000000001198</v>
      </c>
      <c r="V77" s="247">
        <v>39</v>
      </c>
      <c r="W77" s="247">
        <v>3.3</v>
      </c>
      <c r="Y77" s="247">
        <v>39</v>
      </c>
      <c r="Z77" s="286">
        <v>2.9449999999999998</v>
      </c>
      <c r="AB77" s="247">
        <v>39</v>
      </c>
      <c r="AC77" s="286">
        <v>2.9449999999999998</v>
      </c>
    </row>
    <row r="78" spans="2:29" x14ac:dyDescent="0.25">
      <c r="B78" s="17">
        <v>56</v>
      </c>
      <c r="C78" s="17">
        <v>85</v>
      </c>
      <c r="D78" s="17">
        <v>56</v>
      </c>
      <c r="E78" s="17">
        <v>85</v>
      </c>
      <c r="F78" s="17">
        <f t="shared" si="10"/>
        <v>30</v>
      </c>
      <c r="G78" s="17">
        <v>1.5</v>
      </c>
      <c r="H78" s="17"/>
      <c r="M78" s="17">
        <v>40</v>
      </c>
      <c r="N78" s="17">
        <v>1.94</v>
      </c>
      <c r="P78" s="221">
        <v>40</v>
      </c>
      <c r="Q78" s="221">
        <v>3.5049999999999999</v>
      </c>
      <c r="S78" s="247">
        <v>40</v>
      </c>
      <c r="T78" s="247">
        <v>3.3750000000001399</v>
      </c>
      <c r="V78" s="247">
        <v>40</v>
      </c>
      <c r="W78" s="288">
        <v>3.3050000000000002</v>
      </c>
      <c r="Y78" s="247">
        <v>40</v>
      </c>
      <c r="Z78" s="286">
        <v>2.95</v>
      </c>
      <c r="AB78" s="247">
        <v>40</v>
      </c>
      <c r="AC78" s="286">
        <v>2.95</v>
      </c>
    </row>
    <row r="79" spans="2:29" x14ac:dyDescent="0.25">
      <c r="B79" s="17">
        <v>86</v>
      </c>
      <c r="C79" s="17">
        <v>100</v>
      </c>
      <c r="D79" s="17">
        <v>86</v>
      </c>
      <c r="E79" s="17">
        <v>100</v>
      </c>
      <c r="F79" s="17">
        <f t="shared" si="10"/>
        <v>15</v>
      </c>
      <c r="G79" s="17">
        <v>2</v>
      </c>
      <c r="H79" s="17"/>
      <c r="M79" s="17">
        <v>41</v>
      </c>
      <c r="N79" s="17">
        <v>1.95</v>
      </c>
      <c r="P79" s="221">
        <v>41</v>
      </c>
      <c r="Q79" s="221">
        <v>3.5150000000000001</v>
      </c>
      <c r="S79" s="247">
        <v>41</v>
      </c>
      <c r="T79" s="247">
        <v>3.39000000000014</v>
      </c>
      <c r="V79" s="247">
        <v>41</v>
      </c>
      <c r="W79" s="247">
        <v>3.31</v>
      </c>
      <c r="Y79" s="247">
        <v>41</v>
      </c>
      <c r="Z79" s="286">
        <v>2.9550000000000001</v>
      </c>
      <c r="AB79" s="247">
        <v>41</v>
      </c>
      <c r="AC79" s="286">
        <v>2.9550000000000001</v>
      </c>
    </row>
    <row r="80" spans="2:29" x14ac:dyDescent="0.25">
      <c r="B80" s="17">
        <v>101</v>
      </c>
      <c r="C80" s="17">
        <v>110</v>
      </c>
      <c r="D80" s="17">
        <v>101</v>
      </c>
      <c r="E80" s="17">
        <v>105</v>
      </c>
      <c r="F80" s="17">
        <f t="shared" si="10"/>
        <v>5</v>
      </c>
      <c r="G80" s="17">
        <v>2</v>
      </c>
      <c r="H80" s="17"/>
      <c r="M80" s="17">
        <v>42</v>
      </c>
      <c r="N80" s="17">
        <v>1.96</v>
      </c>
      <c r="P80" s="221">
        <v>42</v>
      </c>
      <c r="Q80" s="221">
        <v>3.5249999999999999</v>
      </c>
      <c r="S80" s="247">
        <v>42</v>
      </c>
      <c r="T80" s="247">
        <v>3.4050000000001499</v>
      </c>
      <c r="V80" s="247">
        <v>42</v>
      </c>
      <c r="W80" s="288">
        <v>3.3150000000000102</v>
      </c>
      <c r="Y80" s="247">
        <v>42</v>
      </c>
      <c r="Z80" s="286">
        <v>2.96</v>
      </c>
      <c r="AB80" s="247">
        <v>42</v>
      </c>
      <c r="AC80" s="286">
        <v>2.96</v>
      </c>
    </row>
    <row r="81" spans="2:29" x14ac:dyDescent="0.25">
      <c r="B81" s="17">
        <v>111</v>
      </c>
      <c r="C81" s="17">
        <v>120</v>
      </c>
      <c r="D81" s="17"/>
      <c r="E81" s="17"/>
      <c r="F81" s="17"/>
      <c r="G81" s="17"/>
      <c r="H81" s="17"/>
      <c r="M81" s="17">
        <v>43</v>
      </c>
      <c r="N81" s="17">
        <v>1.97</v>
      </c>
      <c r="P81" s="221">
        <v>43</v>
      </c>
      <c r="Q81" s="221">
        <v>3.5350000000000001</v>
      </c>
      <c r="S81" s="247">
        <v>43</v>
      </c>
      <c r="T81" s="247">
        <v>3.42000000000017</v>
      </c>
      <c r="V81" s="247">
        <v>43</v>
      </c>
      <c r="W81" s="247">
        <v>3.3200000000000101</v>
      </c>
      <c r="Y81" s="247">
        <v>43</v>
      </c>
      <c r="Z81" s="286">
        <v>2.9650000000000101</v>
      </c>
      <c r="AB81" s="247">
        <v>43</v>
      </c>
      <c r="AC81" s="286">
        <v>2.9650000000000101</v>
      </c>
    </row>
    <row r="82" spans="2:29" x14ac:dyDescent="0.25">
      <c r="M82" s="17">
        <v>44</v>
      </c>
      <c r="N82" s="17">
        <v>1.98</v>
      </c>
      <c r="P82" s="221">
        <v>44</v>
      </c>
      <c r="Q82" s="221">
        <v>3.5449999999999999</v>
      </c>
      <c r="S82" s="247">
        <v>44</v>
      </c>
      <c r="T82" s="247">
        <v>3.4350000000001799</v>
      </c>
      <c r="V82" s="247">
        <v>44</v>
      </c>
      <c r="W82" s="288">
        <v>3.3250000000000099</v>
      </c>
      <c r="Y82" s="247">
        <v>44</v>
      </c>
      <c r="Z82" s="286">
        <v>2.97000000000001</v>
      </c>
      <c r="AB82" s="247">
        <v>44</v>
      </c>
      <c r="AC82" s="286">
        <v>2.97000000000001</v>
      </c>
    </row>
    <row r="83" spans="2:29" x14ac:dyDescent="0.25">
      <c r="B83" s="386" t="s">
        <v>323</v>
      </c>
      <c r="C83" s="386"/>
      <c r="D83" s="386"/>
      <c r="E83" s="386"/>
      <c r="F83" s="386"/>
      <c r="G83" s="17"/>
      <c r="H83" s="17"/>
      <c r="M83" s="17">
        <v>45</v>
      </c>
      <c r="N83" s="17">
        <v>1.99</v>
      </c>
      <c r="P83" s="221">
        <v>45</v>
      </c>
      <c r="Q83" s="221">
        <v>3.5550000000000002</v>
      </c>
      <c r="S83" s="247">
        <v>45</v>
      </c>
      <c r="T83" s="247">
        <v>3.4500000000001898</v>
      </c>
      <c r="V83" s="247">
        <v>45</v>
      </c>
      <c r="W83" s="247">
        <v>3.3300000000000098</v>
      </c>
      <c r="Y83" s="247">
        <v>45</v>
      </c>
      <c r="Z83" s="286">
        <v>2.9750000000000099</v>
      </c>
      <c r="AB83" s="247">
        <v>45</v>
      </c>
      <c r="AC83" s="286">
        <v>2.9750000000000099</v>
      </c>
    </row>
    <row r="84" spans="2:29" x14ac:dyDescent="0.25">
      <c r="B84" s="386" t="s">
        <v>254</v>
      </c>
      <c r="C84" s="386"/>
      <c r="D84" s="386" t="s">
        <v>254</v>
      </c>
      <c r="E84" s="386"/>
      <c r="F84" s="192" t="s">
        <v>313</v>
      </c>
      <c r="G84" s="17" t="s">
        <v>314</v>
      </c>
      <c r="H84" s="17" t="s">
        <v>316</v>
      </c>
      <c r="M84" s="17">
        <v>46</v>
      </c>
      <c r="N84" s="17">
        <v>2</v>
      </c>
      <c r="P84" s="221">
        <v>46</v>
      </c>
      <c r="Q84" s="221">
        <v>3.5649999999999999</v>
      </c>
      <c r="S84" s="247">
        <v>46</v>
      </c>
      <c r="T84" s="247">
        <v>3.4650000000002001</v>
      </c>
      <c r="V84" s="247">
        <v>46</v>
      </c>
      <c r="W84" s="288">
        <v>3.3350000000000102</v>
      </c>
      <c r="Y84" s="247">
        <v>46</v>
      </c>
      <c r="Z84" s="286">
        <v>2.9800000000000102</v>
      </c>
      <c r="AB84" s="247">
        <v>46</v>
      </c>
      <c r="AC84" s="286">
        <v>2.9800000000000102</v>
      </c>
    </row>
    <row r="85" spans="2:29" x14ac:dyDescent="0.25">
      <c r="B85" s="17">
        <v>0</v>
      </c>
      <c r="C85" s="17">
        <v>10</v>
      </c>
      <c r="D85" s="17">
        <v>6</v>
      </c>
      <c r="E85" s="17">
        <v>10</v>
      </c>
      <c r="F85" s="17">
        <f>E85-D85+1</f>
        <v>5</v>
      </c>
      <c r="G85" s="17">
        <v>1</v>
      </c>
      <c r="H85" s="17">
        <f>(F85*G85+F86*G86+F87*G87+F88*G88+F89*G89+F90*G90)/100</f>
        <v>1.595</v>
      </c>
      <c r="M85" s="17">
        <v>47</v>
      </c>
      <c r="N85" s="17">
        <v>2.0099999999999998</v>
      </c>
      <c r="P85" s="221">
        <v>47</v>
      </c>
      <c r="Q85" s="221">
        <v>3.5750000000000002</v>
      </c>
      <c r="S85" s="247">
        <v>47</v>
      </c>
      <c r="T85" s="247">
        <v>3.48000000000021</v>
      </c>
      <c r="V85" s="247">
        <v>47</v>
      </c>
      <c r="W85" s="247">
        <v>3.3400000000000101</v>
      </c>
      <c r="Y85" s="247">
        <v>47</v>
      </c>
      <c r="Z85" s="286">
        <v>2.9850000000000101</v>
      </c>
      <c r="AB85" s="247">
        <v>47</v>
      </c>
      <c r="AC85" s="286">
        <v>2.9850000000000101</v>
      </c>
    </row>
    <row r="86" spans="2:29" x14ac:dyDescent="0.25">
      <c r="B86" s="17">
        <v>11</v>
      </c>
      <c r="C86" s="17">
        <v>25</v>
      </c>
      <c r="D86" s="17">
        <v>11</v>
      </c>
      <c r="E86" s="17">
        <v>25</v>
      </c>
      <c r="F86" s="17">
        <f t="shared" ref="F86:F90" si="11">E86-D86+1</f>
        <v>15</v>
      </c>
      <c r="G86" s="17">
        <v>1.5</v>
      </c>
      <c r="H86" s="17"/>
      <c r="M86" s="17">
        <v>48</v>
      </c>
      <c r="N86" s="17">
        <v>2.02</v>
      </c>
      <c r="P86" s="221">
        <v>48</v>
      </c>
      <c r="Q86" s="221">
        <v>3.585</v>
      </c>
      <c r="S86" s="247">
        <v>48</v>
      </c>
      <c r="T86" s="247">
        <v>3.4950000000002199</v>
      </c>
      <c r="V86" s="247">
        <v>48</v>
      </c>
      <c r="W86" s="288">
        <v>3.34500000000001</v>
      </c>
      <c r="Y86" s="247">
        <v>48</v>
      </c>
      <c r="Z86" s="286">
        <v>2.99000000000001</v>
      </c>
      <c r="AB86" s="247">
        <v>48</v>
      </c>
      <c r="AC86" s="286">
        <v>2.99000000000001</v>
      </c>
    </row>
    <row r="87" spans="2:29" x14ac:dyDescent="0.25">
      <c r="B87" s="17">
        <v>26</v>
      </c>
      <c r="C87" s="17">
        <v>55</v>
      </c>
      <c r="D87" s="17">
        <v>26</v>
      </c>
      <c r="E87" s="17">
        <v>55</v>
      </c>
      <c r="F87" s="17">
        <f t="shared" si="11"/>
        <v>30</v>
      </c>
      <c r="G87" s="17">
        <v>1.5</v>
      </c>
      <c r="H87" s="17"/>
      <c r="M87" s="17">
        <v>49</v>
      </c>
      <c r="N87" s="17">
        <v>2.0299999999999998</v>
      </c>
      <c r="P87" s="221">
        <v>49</v>
      </c>
      <c r="Q87" s="221">
        <v>3.59499999999999</v>
      </c>
      <c r="S87" s="247">
        <v>49</v>
      </c>
      <c r="T87" s="247">
        <v>3.5100000000002298</v>
      </c>
      <c r="V87" s="247">
        <v>49</v>
      </c>
      <c r="W87" s="247">
        <v>3.3500000000000099</v>
      </c>
      <c r="Y87" s="247">
        <v>49</v>
      </c>
      <c r="Z87" s="286">
        <v>2.9950000000000099</v>
      </c>
      <c r="AB87" s="247">
        <v>49</v>
      </c>
      <c r="AC87" s="286">
        <v>2.9950000000000099</v>
      </c>
    </row>
    <row r="88" spans="2:29" x14ac:dyDescent="0.25">
      <c r="B88" s="17">
        <v>56</v>
      </c>
      <c r="C88" s="17">
        <v>85</v>
      </c>
      <c r="D88" s="17">
        <v>56</v>
      </c>
      <c r="E88" s="17">
        <v>85</v>
      </c>
      <c r="F88" s="17">
        <f t="shared" si="11"/>
        <v>30</v>
      </c>
      <c r="G88" s="17">
        <v>1.5</v>
      </c>
      <c r="H88" s="17"/>
      <c r="M88" s="17">
        <v>50</v>
      </c>
      <c r="N88" s="17">
        <v>2.04</v>
      </c>
      <c r="P88" s="221">
        <v>50</v>
      </c>
      <c r="Q88" s="221">
        <v>3.605</v>
      </c>
      <c r="S88" s="247">
        <v>50</v>
      </c>
      <c r="T88" s="247">
        <v>3.5250000000002402</v>
      </c>
      <c r="V88" s="247">
        <v>50</v>
      </c>
      <c r="W88" s="298">
        <v>3.3550000000000102</v>
      </c>
      <c r="Y88" s="247">
        <v>50</v>
      </c>
      <c r="Z88" s="286">
        <v>3.0000000000000102</v>
      </c>
      <c r="AB88" s="247">
        <v>50</v>
      </c>
      <c r="AC88" s="286">
        <v>3.0000000000000102</v>
      </c>
    </row>
    <row r="89" spans="2:29" x14ac:dyDescent="0.25">
      <c r="B89" s="17">
        <v>86</v>
      </c>
      <c r="C89" s="17">
        <v>100</v>
      </c>
      <c r="D89" s="17">
        <v>86</v>
      </c>
      <c r="E89" s="17">
        <v>100</v>
      </c>
      <c r="F89" s="17">
        <f t="shared" si="11"/>
        <v>15</v>
      </c>
      <c r="G89" s="17">
        <v>2</v>
      </c>
      <c r="H89" s="17"/>
    </row>
    <row r="90" spans="2:29" x14ac:dyDescent="0.25">
      <c r="B90" s="17">
        <v>101</v>
      </c>
      <c r="C90" s="17">
        <v>110</v>
      </c>
      <c r="D90" s="17">
        <v>101</v>
      </c>
      <c r="E90" s="17">
        <v>106</v>
      </c>
      <c r="F90" s="17">
        <f t="shared" si="11"/>
        <v>6</v>
      </c>
      <c r="G90" s="17">
        <v>2</v>
      </c>
      <c r="H90" s="17"/>
    </row>
    <row r="91" spans="2:29" x14ac:dyDescent="0.25">
      <c r="B91" s="17">
        <v>111</v>
      </c>
      <c r="C91" s="17">
        <v>120</v>
      </c>
      <c r="D91" s="17"/>
      <c r="E91" s="17"/>
      <c r="F91" s="17"/>
      <c r="G91" s="17"/>
      <c r="H91" s="17"/>
    </row>
    <row r="93" spans="2:29" x14ac:dyDescent="0.25">
      <c r="B93" s="386" t="s">
        <v>324</v>
      </c>
      <c r="C93" s="386"/>
      <c r="D93" s="386"/>
      <c r="E93" s="386"/>
      <c r="F93" s="386"/>
      <c r="G93" s="17"/>
      <c r="H93" s="17"/>
    </row>
    <row r="94" spans="2:29" x14ac:dyDescent="0.25">
      <c r="B94" s="386" t="s">
        <v>254</v>
      </c>
      <c r="C94" s="386"/>
      <c r="D94" s="386" t="s">
        <v>254</v>
      </c>
      <c r="E94" s="386"/>
      <c r="F94" s="192" t="s">
        <v>313</v>
      </c>
      <c r="G94" s="17" t="s">
        <v>314</v>
      </c>
      <c r="H94" s="17" t="s">
        <v>316</v>
      </c>
    </row>
    <row r="95" spans="2:29" x14ac:dyDescent="0.25">
      <c r="B95" s="17">
        <v>0</v>
      </c>
      <c r="C95" s="17">
        <v>10</v>
      </c>
      <c r="D95" s="17">
        <v>7</v>
      </c>
      <c r="E95" s="17">
        <v>10</v>
      </c>
      <c r="F95" s="17">
        <f>E95-D95+1</f>
        <v>4</v>
      </c>
      <c r="G95" s="17">
        <v>1</v>
      </c>
      <c r="H95" s="17">
        <f>(F95*G95+F96*G96+F97*G97+F98*G98+F99*G99+F100*G100)/100</f>
        <v>1.605</v>
      </c>
    </row>
    <row r="96" spans="2:29" x14ac:dyDescent="0.25">
      <c r="B96" s="17">
        <v>11</v>
      </c>
      <c r="C96" s="17">
        <v>25</v>
      </c>
      <c r="D96" s="17">
        <v>11</v>
      </c>
      <c r="E96" s="17">
        <v>25</v>
      </c>
      <c r="F96" s="17">
        <f t="shared" ref="F96:F100" si="12">E96-D96+1</f>
        <v>15</v>
      </c>
      <c r="G96" s="17">
        <v>1.5</v>
      </c>
      <c r="H96" s="17"/>
    </row>
    <row r="97" spans="2:14" x14ac:dyDescent="0.25">
      <c r="B97" s="17">
        <v>26</v>
      </c>
      <c r="C97" s="17">
        <v>55</v>
      </c>
      <c r="D97" s="17">
        <v>26</v>
      </c>
      <c r="E97" s="17">
        <v>55</v>
      </c>
      <c r="F97" s="17">
        <f t="shared" si="12"/>
        <v>30</v>
      </c>
      <c r="G97" s="17">
        <v>1.5</v>
      </c>
      <c r="H97" s="17"/>
    </row>
    <row r="98" spans="2:14" x14ac:dyDescent="0.25">
      <c r="B98" s="17">
        <v>56</v>
      </c>
      <c r="C98" s="17">
        <v>85</v>
      </c>
      <c r="D98" s="17">
        <v>56</v>
      </c>
      <c r="E98" s="17">
        <v>85</v>
      </c>
      <c r="F98" s="17">
        <f t="shared" si="12"/>
        <v>30</v>
      </c>
      <c r="G98" s="17">
        <v>1.5</v>
      </c>
      <c r="H98" s="17"/>
    </row>
    <row r="99" spans="2:14" x14ac:dyDescent="0.25">
      <c r="B99" s="17">
        <v>86</v>
      </c>
      <c r="C99" s="17">
        <v>100</v>
      </c>
      <c r="D99" s="17">
        <v>86</v>
      </c>
      <c r="E99" s="17">
        <v>100</v>
      </c>
      <c r="F99" s="17">
        <f t="shared" si="12"/>
        <v>15</v>
      </c>
      <c r="G99" s="17">
        <v>2</v>
      </c>
      <c r="H99" s="17"/>
    </row>
    <row r="100" spans="2:14" x14ac:dyDescent="0.25">
      <c r="B100" s="17">
        <v>101</v>
      </c>
      <c r="C100" s="17">
        <v>110</v>
      </c>
      <c r="D100" s="17">
        <v>101</v>
      </c>
      <c r="E100" s="17">
        <v>107</v>
      </c>
      <c r="F100" s="17">
        <f t="shared" si="12"/>
        <v>7</v>
      </c>
      <c r="G100" s="17">
        <v>2</v>
      </c>
      <c r="H100" s="17"/>
    </row>
    <row r="101" spans="2:14" x14ac:dyDescent="0.25">
      <c r="B101" s="17">
        <v>111</v>
      </c>
      <c r="C101" s="17">
        <v>120</v>
      </c>
      <c r="D101" s="17"/>
      <c r="E101" s="17"/>
      <c r="F101" s="17"/>
      <c r="G101" s="17"/>
      <c r="H101" s="17"/>
    </row>
    <row r="102" spans="2:14" x14ac:dyDescent="0.25">
      <c r="J102" s="378" t="s">
        <v>417</v>
      </c>
      <c r="K102" s="379"/>
      <c r="L102" s="379"/>
      <c r="M102" s="379"/>
      <c r="N102" s="380"/>
    </row>
    <row r="103" spans="2:14" x14ac:dyDescent="0.25">
      <c r="B103" s="386" t="s">
        <v>325</v>
      </c>
      <c r="C103" s="386"/>
      <c r="D103" s="386"/>
      <c r="E103" s="386"/>
      <c r="F103" s="386"/>
      <c r="G103" s="17"/>
      <c r="H103" s="17"/>
      <c r="J103" s="381" t="s">
        <v>399</v>
      </c>
      <c r="K103" s="382"/>
      <c r="L103" s="382"/>
      <c r="M103" s="382"/>
      <c r="N103" s="383"/>
    </row>
    <row r="104" spans="2:14" x14ac:dyDescent="0.25">
      <c r="B104" s="386" t="s">
        <v>254</v>
      </c>
      <c r="C104" s="386"/>
      <c r="D104" s="386" t="s">
        <v>254</v>
      </c>
      <c r="E104" s="386"/>
      <c r="F104" s="192" t="s">
        <v>313</v>
      </c>
      <c r="G104" s="17" t="s">
        <v>314</v>
      </c>
      <c r="H104" s="17" t="s">
        <v>316</v>
      </c>
      <c r="J104" s="384" t="s">
        <v>401</v>
      </c>
      <c r="K104" s="385"/>
      <c r="L104" s="249" t="s">
        <v>402</v>
      </c>
      <c r="M104" s="249" t="s">
        <v>398</v>
      </c>
      <c r="N104" s="288" t="s">
        <v>403</v>
      </c>
    </row>
    <row r="105" spans="2:14" x14ac:dyDescent="0.25">
      <c r="B105" s="17">
        <v>0</v>
      </c>
      <c r="C105" s="17">
        <v>10</v>
      </c>
      <c r="D105" s="17">
        <v>8</v>
      </c>
      <c r="E105" s="17">
        <v>10</v>
      </c>
      <c r="F105" s="17">
        <f>E105-D105+1</f>
        <v>3</v>
      </c>
      <c r="G105" s="17">
        <v>1</v>
      </c>
      <c r="H105" s="17">
        <f>(F105*G105+F106*G106+F107*G107+F108*G108+F109*G109+F110*G110)/100</f>
        <v>1.615</v>
      </c>
      <c r="J105" s="289">
        <v>101</v>
      </c>
      <c r="K105" s="249">
        <v>110</v>
      </c>
      <c r="L105" s="290">
        <f>IF((10/'DMG PLANNER'!I35)&gt;=1,1,(10/'DMG PLANNER'!I35))</f>
        <v>0.35714285714285715</v>
      </c>
      <c r="M105" s="291">
        <f>IF(('DMG PLANNER'!C36-4)&lt;=0,100,(100-(('DMG PLANNER'!C36-4)/'DMG PLANNER'!C36)*100))</f>
        <v>66.666666666666671</v>
      </c>
      <c r="N105" s="288">
        <f>L105*M105+L106*M106</f>
        <v>88.095238095238102</v>
      </c>
    </row>
    <row r="106" spans="2:14" x14ac:dyDescent="0.25">
      <c r="B106" s="17">
        <v>11</v>
      </c>
      <c r="C106" s="17">
        <v>25</v>
      </c>
      <c r="D106" s="17">
        <v>11</v>
      </c>
      <c r="E106" s="17">
        <v>25</v>
      </c>
      <c r="F106" s="17">
        <f t="shared" ref="F106:F110" si="13">E106-D106+1</f>
        <v>15</v>
      </c>
      <c r="G106" s="17">
        <v>1.5</v>
      </c>
      <c r="H106" s="17"/>
      <c r="J106" s="289">
        <v>111</v>
      </c>
      <c r="K106" s="249">
        <v>120</v>
      </c>
      <c r="L106" s="290">
        <f>IF((('DMG PLANNER'!I35-10)/'DMG PLANNER'!I35)&lt;=0,0,(('DMG PLANNER'!I35-10)/'DMG PLANNER'!I35))</f>
        <v>0.6428571428571429</v>
      </c>
      <c r="M106" s="249">
        <v>100</v>
      </c>
      <c r="N106" s="288"/>
    </row>
    <row r="107" spans="2:14" x14ac:dyDescent="0.25">
      <c r="B107" s="17">
        <v>26</v>
      </c>
      <c r="C107" s="17">
        <v>55</v>
      </c>
      <c r="D107" s="17">
        <v>26</v>
      </c>
      <c r="E107" s="17">
        <v>55</v>
      </c>
      <c r="F107" s="17">
        <f t="shared" si="13"/>
        <v>30</v>
      </c>
      <c r="G107" s="17">
        <v>1.5</v>
      </c>
      <c r="H107" s="17"/>
      <c r="J107" s="292"/>
      <c r="K107" s="193"/>
      <c r="L107" s="193"/>
      <c r="M107" s="193"/>
      <c r="N107" s="293"/>
    </row>
    <row r="108" spans="2:14" x14ac:dyDescent="0.25">
      <c r="B108" s="17">
        <v>56</v>
      </c>
      <c r="C108" s="17">
        <v>85</v>
      </c>
      <c r="D108" s="17">
        <v>56</v>
      </c>
      <c r="E108" s="17">
        <v>85</v>
      </c>
      <c r="F108" s="17">
        <f t="shared" si="13"/>
        <v>30</v>
      </c>
      <c r="G108" s="17">
        <v>1.5</v>
      </c>
      <c r="H108" s="17"/>
      <c r="J108" s="384" t="s">
        <v>400</v>
      </c>
      <c r="K108" s="385"/>
      <c r="L108" s="385"/>
      <c r="M108" s="385"/>
      <c r="N108" s="387"/>
    </row>
    <row r="109" spans="2:14" x14ac:dyDescent="0.25">
      <c r="B109" s="17">
        <v>86</v>
      </c>
      <c r="C109" s="17">
        <v>100</v>
      </c>
      <c r="D109" s="17">
        <v>86</v>
      </c>
      <c r="E109" s="17">
        <v>100</v>
      </c>
      <c r="F109" s="17">
        <f t="shared" si="13"/>
        <v>15</v>
      </c>
      <c r="G109" s="17">
        <v>2</v>
      </c>
      <c r="H109" s="17"/>
      <c r="J109" s="384" t="s">
        <v>401</v>
      </c>
      <c r="K109" s="385"/>
      <c r="L109" s="249" t="s">
        <v>402</v>
      </c>
      <c r="M109" s="249" t="s">
        <v>398</v>
      </c>
      <c r="N109" s="288" t="s">
        <v>403</v>
      </c>
    </row>
    <row r="110" spans="2:14" x14ac:dyDescent="0.25">
      <c r="B110" s="17">
        <v>101</v>
      </c>
      <c r="C110" s="17">
        <v>110</v>
      </c>
      <c r="D110" s="17">
        <v>101</v>
      </c>
      <c r="E110" s="17">
        <v>108</v>
      </c>
      <c r="F110" s="17">
        <f t="shared" si="13"/>
        <v>8</v>
      </c>
      <c r="G110" s="17">
        <v>2</v>
      </c>
      <c r="H110" s="17"/>
      <c r="J110" s="289">
        <v>101</v>
      </c>
      <c r="K110" s="249">
        <v>110</v>
      </c>
      <c r="L110" s="290">
        <f>IF((10/'DMG PLANNER'!J35)&gt;=1,1,(10/'DMG PLANNER'!J35))</f>
        <v>0.35714285714285715</v>
      </c>
      <c r="M110" s="291">
        <f>IF(('DMG PLANNER'!C36-3)&lt;=0,100,(100-(('DMG PLANNER'!C36-3)/'DMG PLANNER'!C36)*100))</f>
        <v>50</v>
      </c>
      <c r="N110" s="288">
        <f>L110*M110+L111*M111</f>
        <v>71.428571428571445</v>
      </c>
    </row>
    <row r="111" spans="2:14" x14ac:dyDescent="0.25">
      <c r="B111" s="17">
        <v>111</v>
      </c>
      <c r="C111" s="17">
        <v>120</v>
      </c>
      <c r="D111" s="17"/>
      <c r="E111" s="17"/>
      <c r="F111" s="17"/>
      <c r="G111" s="17"/>
      <c r="H111" s="17"/>
      <c r="J111" s="289">
        <v>111</v>
      </c>
      <c r="K111" s="249">
        <v>120</v>
      </c>
      <c r="L111" s="290">
        <f>IF((('DMG PLANNER'!J35-10)/'DMG PLANNER'!J35)&lt;=0,0,(('DMG PLANNER'!J35-10)/'DMG PLANNER'!J35))</f>
        <v>0.6428571428571429</v>
      </c>
      <c r="M111" s="249">
        <f>IF(('DMG PLANNER'!C36-5)&lt;=0,100,(100-(('DMG PLANNER'!C36-5)/'DMG PLANNER'!C36)*100))</f>
        <v>83.333333333333343</v>
      </c>
      <c r="N111" s="288"/>
    </row>
    <row r="112" spans="2:14" x14ac:dyDescent="0.25">
      <c r="J112" s="289"/>
      <c r="K112" s="249"/>
      <c r="L112" s="249"/>
      <c r="M112" s="249"/>
      <c r="N112" s="288"/>
    </row>
    <row r="113" spans="2:26" x14ac:dyDescent="0.25">
      <c r="B113" s="386" t="s">
        <v>326</v>
      </c>
      <c r="C113" s="386"/>
      <c r="D113" s="386"/>
      <c r="E113" s="386"/>
      <c r="F113" s="386"/>
      <c r="G113" s="17"/>
      <c r="H113" s="17"/>
      <c r="J113" s="384" t="s">
        <v>404</v>
      </c>
      <c r="K113" s="385"/>
      <c r="L113" s="385"/>
      <c r="M113" s="385"/>
      <c r="N113" s="387"/>
    </row>
    <row r="114" spans="2:26" x14ac:dyDescent="0.25">
      <c r="B114" s="386" t="s">
        <v>254</v>
      </c>
      <c r="C114" s="386"/>
      <c r="D114" s="386" t="s">
        <v>254</v>
      </c>
      <c r="E114" s="386"/>
      <c r="F114" s="192" t="s">
        <v>313</v>
      </c>
      <c r="G114" s="17" t="s">
        <v>314</v>
      </c>
      <c r="H114" s="17" t="s">
        <v>316</v>
      </c>
      <c r="J114" s="384" t="s">
        <v>401</v>
      </c>
      <c r="K114" s="385"/>
      <c r="L114" s="249" t="s">
        <v>402</v>
      </c>
      <c r="M114" s="249" t="s">
        <v>398</v>
      </c>
      <c r="N114" s="288" t="s">
        <v>403</v>
      </c>
    </row>
    <row r="115" spans="2:26" x14ac:dyDescent="0.25">
      <c r="B115" s="17">
        <v>0</v>
      </c>
      <c r="C115" s="17">
        <v>10</v>
      </c>
      <c r="D115" s="17">
        <v>9</v>
      </c>
      <c r="E115" s="17">
        <v>10</v>
      </c>
      <c r="F115" s="17">
        <f>E115-D115+1</f>
        <v>2</v>
      </c>
      <c r="G115" s="17">
        <v>1</v>
      </c>
      <c r="H115" s="17">
        <f>(F115*G115+F116*G116+F117*G117+F118*G118+F119*G119+F120*G120)/100</f>
        <v>1.625</v>
      </c>
      <c r="J115" s="289">
        <v>101</v>
      </c>
      <c r="K115" s="249">
        <v>110</v>
      </c>
      <c r="L115" s="290">
        <f>IF((10/'DMG PLANNER'!K35)&gt;=1,1,(10/'DMG PLANNER'!K35))</f>
        <v>0.35714285714285715</v>
      </c>
      <c r="M115" s="291">
        <f>IF(('DMG PLANNER'!C36-5)&lt;=0,100,(100-(('DMG PLANNER'!C36-5)/'DMG PLANNER'!C36)*100))</f>
        <v>83.333333333333343</v>
      </c>
      <c r="N115" s="288">
        <f>L115*M115+L116*M116</f>
        <v>94.047619047619065</v>
      </c>
    </row>
    <row r="116" spans="2:26" x14ac:dyDescent="0.25">
      <c r="B116" s="17">
        <v>11</v>
      </c>
      <c r="C116" s="17">
        <v>25</v>
      </c>
      <c r="D116" s="17">
        <v>11</v>
      </c>
      <c r="E116" s="17">
        <v>25</v>
      </c>
      <c r="F116" s="17">
        <f t="shared" ref="F116:F120" si="14">E116-D116+1</f>
        <v>15</v>
      </c>
      <c r="G116" s="17">
        <v>1.5</v>
      </c>
      <c r="H116" s="17"/>
      <c r="J116" s="289">
        <v>111</v>
      </c>
      <c r="K116" s="249">
        <v>120</v>
      </c>
      <c r="L116" s="290">
        <f>IF((('DMG PLANNER'!K35-10)/'DMG PLANNER'!K35)&lt;=0,0,(('DMG PLANNER'!K35-10)/'DMG PLANNER'!K35))</f>
        <v>0.6428571428571429</v>
      </c>
      <c r="M116" s="249">
        <v>100</v>
      </c>
      <c r="N116" s="288"/>
    </row>
    <row r="117" spans="2:26" x14ac:dyDescent="0.25">
      <c r="B117" s="17">
        <v>26</v>
      </c>
      <c r="C117" s="17">
        <v>55</v>
      </c>
      <c r="D117" s="17">
        <v>26</v>
      </c>
      <c r="E117" s="17">
        <v>55</v>
      </c>
      <c r="F117" s="17">
        <f t="shared" si="14"/>
        <v>30</v>
      </c>
      <c r="G117" s="17">
        <v>1.5</v>
      </c>
      <c r="H117" s="17"/>
      <c r="J117" s="292"/>
      <c r="K117" s="193"/>
      <c r="L117" s="193"/>
      <c r="M117" s="193"/>
      <c r="N117" s="293"/>
    </row>
    <row r="118" spans="2:26" x14ac:dyDescent="0.25">
      <c r="B118" s="17">
        <v>56</v>
      </c>
      <c r="C118" s="17">
        <v>85</v>
      </c>
      <c r="D118" s="17">
        <v>56</v>
      </c>
      <c r="E118" s="17">
        <v>85</v>
      </c>
      <c r="F118" s="17">
        <f t="shared" si="14"/>
        <v>30</v>
      </c>
      <c r="G118" s="17">
        <v>1.5</v>
      </c>
      <c r="H118" s="17"/>
      <c r="J118" s="384" t="s">
        <v>406</v>
      </c>
      <c r="K118" s="385"/>
      <c r="L118" s="385"/>
      <c r="M118" s="385"/>
      <c r="N118" s="387"/>
    </row>
    <row r="119" spans="2:26" x14ac:dyDescent="0.25">
      <c r="B119" s="17">
        <v>86</v>
      </c>
      <c r="C119" s="17">
        <v>100</v>
      </c>
      <c r="D119" s="17">
        <v>86</v>
      </c>
      <c r="E119" s="17">
        <v>100</v>
      </c>
      <c r="F119" s="17">
        <f t="shared" si="14"/>
        <v>15</v>
      </c>
      <c r="G119" s="17">
        <v>2</v>
      </c>
      <c r="H119" s="17"/>
      <c r="J119" s="384" t="s">
        <v>401</v>
      </c>
      <c r="K119" s="385"/>
      <c r="L119" s="249" t="s">
        <v>402</v>
      </c>
      <c r="M119" s="249" t="s">
        <v>398</v>
      </c>
      <c r="N119" s="288" t="s">
        <v>403</v>
      </c>
    </row>
    <row r="120" spans="2:26" x14ac:dyDescent="0.25">
      <c r="B120" s="17">
        <v>101</v>
      </c>
      <c r="C120" s="17">
        <v>110</v>
      </c>
      <c r="D120" s="17">
        <v>101</v>
      </c>
      <c r="E120" s="17">
        <v>109</v>
      </c>
      <c r="F120" s="17">
        <f t="shared" si="14"/>
        <v>9</v>
      </c>
      <c r="G120" s="17">
        <v>2</v>
      </c>
      <c r="H120" s="17"/>
      <c r="J120" s="289">
        <v>86</v>
      </c>
      <c r="K120" s="249">
        <v>100</v>
      </c>
      <c r="L120" s="290">
        <f>15/(100+'DMG PLANNER'!L35-86)</f>
        <v>0.35714285714285715</v>
      </c>
      <c r="M120" s="291">
        <f>IF(((10-('DMG PLANNER'!C36+2))*10)&lt;=0,0,((10-('DMG PLANNER'!C36+2))*10))</f>
        <v>20</v>
      </c>
      <c r="N120" s="288">
        <f>L120*M120+L121*M121+L122*M122</f>
        <v>59.523809523809518</v>
      </c>
      <c r="V120" s="246"/>
      <c r="W120" s="246"/>
    </row>
    <row r="121" spans="2:26" x14ac:dyDescent="0.25">
      <c r="B121" s="17">
        <v>111</v>
      </c>
      <c r="C121" s="17">
        <v>120</v>
      </c>
      <c r="D121" s="17"/>
      <c r="E121" s="17"/>
      <c r="F121" s="17"/>
      <c r="G121" s="17"/>
      <c r="H121" s="17"/>
      <c r="J121" s="289">
        <v>101</v>
      </c>
      <c r="K121" s="249">
        <v>110</v>
      </c>
      <c r="L121" s="290">
        <f>10/(100+'DMG PLANNER'!L35-86)</f>
        <v>0.23809523809523808</v>
      </c>
      <c r="M121" s="291">
        <f>IF(('DMG PLANNER'!C36-3)&lt;=0,100,(100-(('DMG PLANNER'!C36-3)/'DMG PLANNER'!C36)*100))</f>
        <v>50</v>
      </c>
      <c r="V121" s="246"/>
      <c r="W121" s="246"/>
      <c r="X121" s="246"/>
    </row>
    <row r="122" spans="2:26" x14ac:dyDescent="0.25">
      <c r="J122" s="289">
        <v>111</v>
      </c>
      <c r="K122" s="249">
        <v>120</v>
      </c>
      <c r="L122" s="290">
        <f>1-L120-L121</f>
        <v>0.40476190476190471</v>
      </c>
      <c r="M122" s="249">
        <v>100</v>
      </c>
      <c r="N122" s="288"/>
      <c r="V122" s="246"/>
      <c r="W122" s="246"/>
      <c r="X122" s="246"/>
    </row>
    <row r="123" spans="2:26" x14ac:dyDescent="0.25">
      <c r="B123" s="386" t="s">
        <v>327</v>
      </c>
      <c r="C123" s="386"/>
      <c r="D123" s="386"/>
      <c r="E123" s="386"/>
      <c r="F123" s="386"/>
      <c r="G123" s="17"/>
      <c r="H123" s="17"/>
      <c r="J123" s="289"/>
      <c r="K123" s="249"/>
      <c r="L123" s="249"/>
      <c r="M123" s="249"/>
      <c r="N123" s="288"/>
      <c r="V123" s="246"/>
      <c r="W123" s="246"/>
      <c r="X123" s="246"/>
    </row>
    <row r="124" spans="2:26" x14ac:dyDescent="0.25">
      <c r="B124" s="386" t="s">
        <v>254</v>
      </c>
      <c r="C124" s="386"/>
      <c r="D124" s="386" t="s">
        <v>254</v>
      </c>
      <c r="E124" s="386"/>
      <c r="F124" s="192" t="s">
        <v>313</v>
      </c>
      <c r="G124" s="17" t="s">
        <v>314</v>
      </c>
      <c r="H124" s="17" t="s">
        <v>316</v>
      </c>
      <c r="J124" s="384" t="s">
        <v>405</v>
      </c>
      <c r="K124" s="385"/>
      <c r="L124" s="385"/>
      <c r="M124" s="385"/>
      <c r="N124" s="387"/>
      <c r="V124" s="378" t="s">
        <v>462</v>
      </c>
      <c r="W124" s="379"/>
      <c r="X124" s="379"/>
      <c r="Y124" s="379"/>
      <c r="Z124" s="380"/>
    </row>
    <row r="125" spans="2:26" x14ac:dyDescent="0.25">
      <c r="B125" s="17">
        <v>0</v>
      </c>
      <c r="C125" s="17">
        <v>10</v>
      </c>
      <c r="D125" s="17">
        <v>10</v>
      </c>
      <c r="E125" s="17">
        <v>10</v>
      </c>
      <c r="F125" s="17">
        <f>E125-D125+1</f>
        <v>1</v>
      </c>
      <c r="G125" s="17">
        <v>1</v>
      </c>
      <c r="H125" s="17">
        <f>(F125*G125+F126*G126+F127*G127+F128*G128+F129*G129+F130*G130)/100</f>
        <v>1.635</v>
      </c>
      <c r="J125" s="384" t="s">
        <v>401</v>
      </c>
      <c r="K125" s="385"/>
      <c r="L125" s="249" t="s">
        <v>402</v>
      </c>
      <c r="M125" s="249" t="s">
        <v>398</v>
      </c>
      <c r="N125" s="288" t="s">
        <v>403</v>
      </c>
      <c r="V125" s="381" t="s">
        <v>463</v>
      </c>
      <c r="W125" s="382"/>
      <c r="X125" s="382"/>
      <c r="Y125" s="382"/>
      <c r="Z125" s="383"/>
    </row>
    <row r="126" spans="2:26" x14ac:dyDescent="0.25">
      <c r="B126" s="17">
        <v>11</v>
      </c>
      <c r="C126" s="17">
        <v>25</v>
      </c>
      <c r="D126" s="17">
        <v>11</v>
      </c>
      <c r="E126" s="17">
        <v>25</v>
      </c>
      <c r="F126" s="17">
        <f t="shared" ref="F126:F130" si="15">E126-D126+1</f>
        <v>15</v>
      </c>
      <c r="G126" s="17">
        <v>1.5</v>
      </c>
      <c r="H126" s="17"/>
      <c r="J126" s="289">
        <v>101</v>
      </c>
      <c r="K126" s="249">
        <v>110</v>
      </c>
      <c r="L126" s="290">
        <f>IF((10/'DMG PLANNER'!M35)&gt;=1,1,(10/'DMG PLANNER'!M35))</f>
        <v>0.35714285714285715</v>
      </c>
      <c r="M126" s="291">
        <f>IF(('DMG PLANNER'!C36-4)&lt;=0,100,(100-(('DMG PLANNER'!C36-4)/'DMG PLANNER'!C36)*100))</f>
        <v>66.666666666666671</v>
      </c>
      <c r="N126" s="288">
        <f>L126*M126+L127*M127</f>
        <v>88.095238095238102</v>
      </c>
      <c r="V126" s="384" t="s">
        <v>401</v>
      </c>
      <c r="W126" s="385"/>
      <c r="X126" s="285" t="s">
        <v>402</v>
      </c>
      <c r="Y126" s="285" t="s">
        <v>464</v>
      </c>
      <c r="Z126" s="294" t="s">
        <v>464</v>
      </c>
    </row>
    <row r="127" spans="2:26" x14ac:dyDescent="0.25">
      <c r="B127" s="17">
        <v>26</v>
      </c>
      <c r="C127" s="17">
        <v>55</v>
      </c>
      <c r="D127" s="17">
        <v>26</v>
      </c>
      <c r="E127" s="17">
        <v>55</v>
      </c>
      <c r="F127" s="17">
        <f t="shared" si="15"/>
        <v>30</v>
      </c>
      <c r="G127" s="17">
        <v>1.5</v>
      </c>
      <c r="H127" s="17"/>
      <c r="J127" s="295">
        <v>111</v>
      </c>
      <c r="K127" s="296">
        <v>120</v>
      </c>
      <c r="L127" s="297">
        <f>IF((('DMG PLANNER'!M35-10)/'DMG PLANNER'!M35)&lt;=0,0,(('DMG PLANNER'!M35-10)/'DMG PLANNER'!M35))</f>
        <v>0.6428571428571429</v>
      </c>
      <c r="M127" s="296">
        <v>100</v>
      </c>
      <c r="N127" s="298"/>
      <c r="V127" s="289">
        <v>101</v>
      </c>
      <c r="W127" s="285">
        <v>110</v>
      </c>
      <c r="X127" s="290">
        <f>IF((10/'DMG PLANNER'!I35)&gt;=1,1,(10/'DMG PLANNER'!I35))</f>
        <v>0.35714285714285715</v>
      </c>
      <c r="Y127" s="291">
        <f>IF(('DMG PLANNER'!E36-4)&lt;=0,100,(100-(('DMG PLANNER'!E36-4)/'DMG PLANNER'!E36)*100))</f>
        <v>40</v>
      </c>
      <c r="Z127" s="294">
        <f>X127*Y127+X128*Y128</f>
        <v>78.571428571428584</v>
      </c>
    </row>
    <row r="128" spans="2:26" x14ac:dyDescent="0.25">
      <c r="B128" s="17">
        <v>56</v>
      </c>
      <c r="C128" s="17">
        <v>85</v>
      </c>
      <c r="D128" s="17">
        <v>56</v>
      </c>
      <c r="E128" s="17">
        <v>85</v>
      </c>
      <c r="F128" s="17">
        <f t="shared" si="15"/>
        <v>30</v>
      </c>
      <c r="G128" s="17">
        <v>1.5</v>
      </c>
      <c r="H128" s="17"/>
      <c r="V128" s="289">
        <v>111</v>
      </c>
      <c r="W128" s="285">
        <v>120</v>
      </c>
      <c r="X128" s="290">
        <f>IF((('DMG PLANNER'!I35-10)/'DMG PLANNER'!I35)&lt;=0,0,(('DMG PLANNER'!I35-10)/'DMG PLANNER'!I35))</f>
        <v>0.6428571428571429</v>
      </c>
      <c r="Y128" s="285">
        <v>100</v>
      </c>
      <c r="Z128" s="294"/>
    </row>
    <row r="129" spans="2:26" x14ac:dyDescent="0.25">
      <c r="B129" s="17">
        <v>86</v>
      </c>
      <c r="C129" s="17">
        <v>100</v>
      </c>
      <c r="D129" s="17">
        <v>86</v>
      </c>
      <c r="E129" s="17">
        <v>100</v>
      </c>
      <c r="F129" s="17">
        <f t="shared" si="15"/>
        <v>15</v>
      </c>
      <c r="G129" s="17">
        <v>2</v>
      </c>
      <c r="H129" s="17"/>
      <c r="V129" s="292"/>
      <c r="W129" s="193"/>
      <c r="X129" s="193"/>
      <c r="Y129" s="193"/>
      <c r="Z129" s="293"/>
    </row>
    <row r="130" spans="2:26" x14ac:dyDescent="0.25">
      <c r="B130" s="17">
        <v>101</v>
      </c>
      <c r="C130" s="17">
        <v>110</v>
      </c>
      <c r="D130" s="17">
        <v>101</v>
      </c>
      <c r="E130" s="17">
        <v>110</v>
      </c>
      <c r="F130" s="17">
        <f t="shared" si="15"/>
        <v>10</v>
      </c>
      <c r="G130" s="17">
        <v>2</v>
      </c>
      <c r="H130" s="17"/>
      <c r="V130" s="384" t="s">
        <v>400</v>
      </c>
      <c r="W130" s="385"/>
      <c r="X130" s="385"/>
      <c r="Y130" s="385"/>
      <c r="Z130" s="387"/>
    </row>
    <row r="131" spans="2:26" x14ac:dyDescent="0.25">
      <c r="B131" s="17">
        <v>111</v>
      </c>
      <c r="C131" s="17">
        <v>120</v>
      </c>
      <c r="D131" s="17"/>
      <c r="E131" s="17"/>
      <c r="F131" s="17"/>
      <c r="G131" s="17"/>
      <c r="H131" s="17"/>
      <c r="V131" s="384" t="s">
        <v>401</v>
      </c>
      <c r="W131" s="385"/>
      <c r="X131" s="285" t="s">
        <v>402</v>
      </c>
      <c r="Y131" s="285" t="s">
        <v>464</v>
      </c>
      <c r="Z131" s="294" t="s">
        <v>464</v>
      </c>
    </row>
    <row r="132" spans="2:26" x14ac:dyDescent="0.25">
      <c r="P132" s="86" t="s">
        <v>68</v>
      </c>
      <c r="Q132" s="86">
        <v>40</v>
      </c>
      <c r="R132" s="86">
        <v>60</v>
      </c>
      <c r="V132" s="289">
        <v>101</v>
      </c>
      <c r="W132" s="285">
        <v>110</v>
      </c>
      <c r="X132" s="290">
        <f>IF((10/'DMG PLANNER'!I35)&gt;=1,1,(10/'DMG PLANNER'!I35))</f>
        <v>0.35714285714285715</v>
      </c>
      <c r="Y132" s="291">
        <f>IF(('DMG PLANNER'!E36-5)&lt;=0,100,(100-(('DMG PLANNER'!E36-5)/'DMG PLANNER'!E36)*100))</f>
        <v>50</v>
      </c>
      <c r="Z132" s="294">
        <f>X132*Y132+X133*Y133</f>
        <v>82.142857142857153</v>
      </c>
    </row>
    <row r="133" spans="2:26" x14ac:dyDescent="0.25">
      <c r="B133" s="386" t="s">
        <v>328</v>
      </c>
      <c r="C133" s="386"/>
      <c r="D133" s="386"/>
      <c r="E133" s="386"/>
      <c r="F133" s="386"/>
      <c r="G133" s="17"/>
      <c r="H133" s="17"/>
      <c r="P133" s="86" t="s">
        <v>422</v>
      </c>
      <c r="Q133" s="86">
        <v>21</v>
      </c>
      <c r="R133" s="86">
        <v>90</v>
      </c>
      <c r="V133" s="289">
        <v>111</v>
      </c>
      <c r="W133" s="285">
        <v>120</v>
      </c>
      <c r="X133" s="290">
        <f>IF((('DMG PLANNER'!I35-10)/'DMG PLANNER'!I35)&lt;=0,0,(('DMG PLANNER'!I35-10)/'DMG PLANNER'!I35))</f>
        <v>0.6428571428571429</v>
      </c>
      <c r="Y133" s="285">
        <v>100</v>
      </c>
      <c r="Z133" s="294"/>
    </row>
    <row r="134" spans="2:26" x14ac:dyDescent="0.25">
      <c r="B134" s="386" t="s">
        <v>254</v>
      </c>
      <c r="C134" s="386"/>
      <c r="D134" s="386" t="s">
        <v>254</v>
      </c>
      <c r="E134" s="386"/>
      <c r="F134" s="192" t="s">
        <v>313</v>
      </c>
      <c r="G134" s="17" t="s">
        <v>314</v>
      </c>
      <c r="H134" s="17" t="s">
        <v>316</v>
      </c>
      <c r="V134" s="289"/>
      <c r="W134" s="285"/>
      <c r="X134" s="285"/>
      <c r="Y134" s="285"/>
      <c r="Z134" s="294"/>
    </row>
    <row r="135" spans="2:26" x14ac:dyDescent="0.25">
      <c r="B135" s="17">
        <v>0</v>
      </c>
      <c r="C135" s="17">
        <v>10</v>
      </c>
      <c r="D135" s="17"/>
      <c r="E135" s="17"/>
      <c r="F135" s="17">
        <v>0</v>
      </c>
      <c r="G135" s="17">
        <v>1</v>
      </c>
      <c r="H135" s="17">
        <f>(F135*G135+F136*G136+F137*G137+F138*G138+F139*G139+F140*G140+F141*G141)/100</f>
        <v>1.65</v>
      </c>
      <c r="O135" s="86" t="s">
        <v>425</v>
      </c>
      <c r="P135" s="284">
        <v>145</v>
      </c>
      <c r="V135" s="384" t="s">
        <v>404</v>
      </c>
      <c r="W135" s="385"/>
      <c r="X135" s="385"/>
      <c r="Y135" s="385"/>
      <c r="Z135" s="387"/>
    </row>
    <row r="136" spans="2:26" x14ac:dyDescent="0.25">
      <c r="B136" s="17">
        <v>11</v>
      </c>
      <c r="C136" s="17">
        <v>25</v>
      </c>
      <c r="D136" s="17">
        <v>11</v>
      </c>
      <c r="E136" s="17">
        <v>25</v>
      </c>
      <c r="F136" s="17">
        <f t="shared" ref="F136:F141" si="16">E136-D136+1</f>
        <v>15</v>
      </c>
      <c r="G136" s="17">
        <v>1.5</v>
      </c>
      <c r="H136" s="17"/>
      <c r="P136" s="284">
        <v>128</v>
      </c>
      <c r="V136" s="384" t="s">
        <v>401</v>
      </c>
      <c r="W136" s="385"/>
      <c r="X136" s="285" t="s">
        <v>402</v>
      </c>
      <c r="Y136" s="285" t="s">
        <v>464</v>
      </c>
      <c r="Z136" s="294" t="s">
        <v>464</v>
      </c>
    </row>
    <row r="137" spans="2:26" x14ac:dyDescent="0.25">
      <c r="B137" s="17">
        <v>26</v>
      </c>
      <c r="C137" s="17">
        <v>55</v>
      </c>
      <c r="D137" s="17">
        <v>26</v>
      </c>
      <c r="E137" s="17">
        <v>55</v>
      </c>
      <c r="F137" s="17">
        <f t="shared" si="16"/>
        <v>30</v>
      </c>
      <c r="G137" s="17">
        <v>1.5</v>
      </c>
      <c r="H137" s="17"/>
      <c r="P137" s="284">
        <v>145</v>
      </c>
      <c r="V137" s="289">
        <v>101</v>
      </c>
      <c r="W137" s="285">
        <v>110</v>
      </c>
      <c r="X137" s="290">
        <f>IF((10/'DMG PLANNER'!K35)&gt;=1,1,(10/'DMG PLANNER'!K35))</f>
        <v>0.35714285714285715</v>
      </c>
      <c r="Y137" s="291">
        <f>IF(('DMG PLANNER'!E36-4)&lt;=0,100,(100-(('DMG PLANNER'!E36-4)/'DMG PLANNER'!E36)*100))</f>
        <v>40</v>
      </c>
      <c r="Z137" s="294">
        <f>X137*Y137+X138*Y138</f>
        <v>78.571428571428584</v>
      </c>
    </row>
    <row r="138" spans="2:26" x14ac:dyDescent="0.25">
      <c r="B138" s="17">
        <v>56</v>
      </c>
      <c r="C138" s="17">
        <v>85</v>
      </c>
      <c r="D138" s="17">
        <v>56</v>
      </c>
      <c r="E138" s="17">
        <v>85</v>
      </c>
      <c r="F138" s="17">
        <f t="shared" si="16"/>
        <v>30</v>
      </c>
      <c r="G138" s="17">
        <v>1.5</v>
      </c>
      <c r="H138" s="17"/>
      <c r="P138" s="284">
        <v>181</v>
      </c>
      <c r="V138" s="289">
        <v>111</v>
      </c>
      <c r="W138" s="285">
        <v>120</v>
      </c>
      <c r="X138" s="290">
        <f>IF((('DMG PLANNER'!K35-10)/'DMG PLANNER'!K35)&lt;=0,0,(('DMG PLANNER'!K35-10)/'DMG PLANNER'!K35))</f>
        <v>0.6428571428571429</v>
      </c>
      <c r="Y138" s="285">
        <v>100</v>
      </c>
      <c r="Z138" s="294"/>
    </row>
    <row r="139" spans="2:26" x14ac:dyDescent="0.25">
      <c r="B139" s="17">
        <v>86</v>
      </c>
      <c r="C139" s="17">
        <v>100</v>
      </c>
      <c r="D139" s="17">
        <v>86</v>
      </c>
      <c r="E139" s="17">
        <v>100</v>
      </c>
      <c r="F139" s="17">
        <f t="shared" si="16"/>
        <v>15</v>
      </c>
      <c r="G139" s="17">
        <v>2</v>
      </c>
      <c r="H139" s="17"/>
      <c r="P139" s="284">
        <v>171</v>
      </c>
      <c r="V139" s="292"/>
      <c r="W139" s="193"/>
      <c r="X139" s="193"/>
      <c r="Y139" s="193"/>
      <c r="Z139" s="293"/>
    </row>
    <row r="140" spans="2:26" x14ac:dyDescent="0.25">
      <c r="B140" s="17">
        <v>101</v>
      </c>
      <c r="C140" s="17">
        <v>110</v>
      </c>
      <c r="D140" s="17">
        <v>101</v>
      </c>
      <c r="E140" s="17">
        <v>110</v>
      </c>
      <c r="F140" s="17">
        <f t="shared" si="16"/>
        <v>10</v>
      </c>
      <c r="G140" s="17">
        <v>2</v>
      </c>
      <c r="H140" s="17"/>
      <c r="P140" s="86">
        <v>142</v>
      </c>
      <c r="V140" s="384"/>
      <c r="W140" s="385"/>
      <c r="X140" s="385"/>
      <c r="Y140" s="385"/>
      <c r="Z140" s="387"/>
    </row>
    <row r="141" spans="2:26" x14ac:dyDescent="0.25">
      <c r="B141" s="17">
        <v>111</v>
      </c>
      <c r="C141" s="17">
        <v>120</v>
      </c>
      <c r="D141" s="17">
        <v>111</v>
      </c>
      <c r="E141" s="17">
        <v>111</v>
      </c>
      <c r="F141" s="17">
        <f t="shared" si="16"/>
        <v>1</v>
      </c>
      <c r="G141" s="17">
        <v>2.5</v>
      </c>
      <c r="H141" s="17"/>
      <c r="V141" s="384"/>
      <c r="W141" s="385"/>
      <c r="X141" s="285"/>
      <c r="Y141" s="285"/>
      <c r="Z141" s="294"/>
    </row>
    <row r="142" spans="2:26" x14ac:dyDescent="0.25">
      <c r="P142" s="86" t="s">
        <v>242</v>
      </c>
      <c r="Q142" s="86">
        <f>Q132*4</f>
        <v>160</v>
      </c>
      <c r="R142" s="284">
        <f>R132*4</f>
        <v>240</v>
      </c>
      <c r="V142" s="289"/>
      <c r="W142" s="285"/>
      <c r="X142" s="290"/>
      <c r="Y142" s="291"/>
      <c r="Z142" s="294"/>
    </row>
    <row r="143" spans="2:26" x14ac:dyDescent="0.25">
      <c r="B143" s="386" t="s">
        <v>329</v>
      </c>
      <c r="C143" s="386"/>
      <c r="D143" s="386"/>
      <c r="E143" s="386"/>
      <c r="F143" s="386"/>
      <c r="G143" s="17"/>
      <c r="H143" s="17"/>
      <c r="P143" s="86" t="s">
        <v>423</v>
      </c>
      <c r="Q143" s="86">
        <f>(Q132-Q133)*4</f>
        <v>76</v>
      </c>
      <c r="R143" s="86">
        <f>(R132-Q133)*4</f>
        <v>156</v>
      </c>
      <c r="V143" s="289"/>
      <c r="W143" s="285"/>
      <c r="X143" s="290"/>
      <c r="Y143" s="291"/>
      <c r="Z143" s="284"/>
    </row>
    <row r="144" spans="2:26" x14ac:dyDescent="0.25">
      <c r="B144" s="386" t="s">
        <v>254</v>
      </c>
      <c r="C144" s="386"/>
      <c r="D144" s="386" t="s">
        <v>254</v>
      </c>
      <c r="E144" s="386"/>
      <c r="F144" s="192" t="s">
        <v>313</v>
      </c>
      <c r="G144" s="17" t="s">
        <v>314</v>
      </c>
      <c r="H144" s="17" t="s">
        <v>316</v>
      </c>
      <c r="P144" s="86" t="s">
        <v>424</v>
      </c>
      <c r="Q144" s="86">
        <f>Q142-Q133</f>
        <v>139</v>
      </c>
      <c r="R144" s="86">
        <f>R142-Q133</f>
        <v>219</v>
      </c>
      <c r="V144" s="289"/>
      <c r="W144" s="285"/>
      <c r="X144" s="290"/>
      <c r="Y144" s="285"/>
      <c r="Z144" s="294"/>
    </row>
    <row r="145" spans="2:28" x14ac:dyDescent="0.25">
      <c r="B145" s="17">
        <v>0</v>
      </c>
      <c r="C145" s="17">
        <v>10</v>
      </c>
      <c r="D145" s="17"/>
      <c r="E145" s="17"/>
      <c r="F145" s="17">
        <v>0</v>
      </c>
      <c r="G145" s="17">
        <v>1</v>
      </c>
      <c r="H145" s="17">
        <f>(F145*G145+F146*G146+F147*G147+F148*G148+F149*G149+F150*G150+F151*G151)/100</f>
        <v>1.66</v>
      </c>
      <c r="V145" s="289"/>
      <c r="W145" s="285"/>
      <c r="X145" s="285"/>
      <c r="Y145" s="285"/>
      <c r="Z145" s="294"/>
    </row>
    <row r="146" spans="2:28" x14ac:dyDescent="0.25">
      <c r="B146" s="17">
        <v>11</v>
      </c>
      <c r="C146" s="17">
        <v>25</v>
      </c>
      <c r="D146" s="17">
        <v>12</v>
      </c>
      <c r="E146" s="17">
        <v>25</v>
      </c>
      <c r="F146" s="17">
        <f t="shared" ref="F146:F151" si="17">E146-D146+1</f>
        <v>14</v>
      </c>
      <c r="G146" s="17">
        <v>1.5</v>
      </c>
      <c r="H146" s="17"/>
      <c r="V146" s="384"/>
      <c r="W146" s="385"/>
      <c r="X146" s="385"/>
      <c r="Y146" s="385"/>
      <c r="Z146" s="387"/>
    </row>
    <row r="147" spans="2:28" x14ac:dyDescent="0.25">
      <c r="B147" s="17">
        <v>26</v>
      </c>
      <c r="C147" s="17">
        <v>55</v>
      </c>
      <c r="D147" s="17">
        <v>26</v>
      </c>
      <c r="E147" s="17">
        <v>55</v>
      </c>
      <c r="F147" s="17">
        <f t="shared" si="17"/>
        <v>30</v>
      </c>
      <c r="G147" s="17">
        <v>1.5</v>
      </c>
      <c r="H147" s="17"/>
      <c r="P147" s="86" t="s">
        <v>426</v>
      </c>
      <c r="Q147" s="86">
        <f>Q133/5</f>
        <v>4.2</v>
      </c>
      <c r="R147" s="86">
        <f>R133/5</f>
        <v>18</v>
      </c>
      <c r="V147" s="384"/>
      <c r="W147" s="385"/>
      <c r="X147" s="285"/>
      <c r="Y147" s="285"/>
      <c r="Z147" s="294"/>
    </row>
    <row r="148" spans="2:28" x14ac:dyDescent="0.25">
      <c r="B148" s="17">
        <v>56</v>
      </c>
      <c r="C148" s="17">
        <v>85</v>
      </c>
      <c r="D148" s="17">
        <v>56</v>
      </c>
      <c r="E148" s="17">
        <v>85</v>
      </c>
      <c r="F148" s="17">
        <f t="shared" si="17"/>
        <v>30</v>
      </c>
      <c r="G148" s="17">
        <v>1.5</v>
      </c>
      <c r="H148" s="17"/>
      <c r="Q148" s="86">
        <f>(Q132-Q147)*4*(1-18/100)</f>
        <v>117.42400000000001</v>
      </c>
      <c r="R148" s="284">
        <f>(R132-Q147)*4*(1-18/100)</f>
        <v>183.024</v>
      </c>
      <c r="V148" s="289"/>
      <c r="W148" s="285"/>
      <c r="X148" s="290"/>
      <c r="Y148" s="291"/>
      <c r="Z148" s="294"/>
    </row>
    <row r="149" spans="2:28" x14ac:dyDescent="0.25">
      <c r="B149" s="17">
        <v>86</v>
      </c>
      <c r="C149" s="17">
        <v>100</v>
      </c>
      <c r="D149" s="17">
        <v>86</v>
      </c>
      <c r="E149" s="17">
        <v>100</v>
      </c>
      <c r="F149" s="17">
        <f t="shared" si="17"/>
        <v>15</v>
      </c>
      <c r="G149" s="17">
        <v>2</v>
      </c>
      <c r="H149" s="17"/>
      <c r="V149" s="295"/>
      <c r="W149" s="296"/>
      <c r="X149" s="297"/>
      <c r="Y149" s="296"/>
      <c r="Z149" s="298"/>
    </row>
    <row r="150" spans="2:28" x14ac:dyDescent="0.25">
      <c r="B150" s="17">
        <v>101</v>
      </c>
      <c r="C150" s="17">
        <v>110</v>
      </c>
      <c r="D150" s="17">
        <v>101</v>
      </c>
      <c r="E150" s="17">
        <v>110</v>
      </c>
      <c r="F150" s="17">
        <f t="shared" si="17"/>
        <v>10</v>
      </c>
      <c r="G150" s="17">
        <v>2</v>
      </c>
      <c r="H150" s="17"/>
    </row>
    <row r="151" spans="2:28" x14ac:dyDescent="0.25">
      <c r="B151" s="17">
        <v>111</v>
      </c>
      <c r="C151" s="17">
        <v>120</v>
      </c>
      <c r="D151" s="17">
        <v>111</v>
      </c>
      <c r="E151" s="17">
        <v>112</v>
      </c>
      <c r="F151" s="17">
        <f t="shared" si="17"/>
        <v>2</v>
      </c>
      <c r="G151" s="17">
        <v>2.5</v>
      </c>
      <c r="H151" s="17"/>
    </row>
    <row r="152" spans="2:28" x14ac:dyDescent="0.25">
      <c r="U152" s="86">
        <v>75</v>
      </c>
      <c r="V152" s="86" t="s">
        <v>474</v>
      </c>
    </row>
    <row r="153" spans="2:28" x14ac:dyDescent="0.25">
      <c r="B153" s="386" t="s">
        <v>330</v>
      </c>
      <c r="C153" s="386"/>
      <c r="D153" s="386"/>
      <c r="E153" s="386"/>
      <c r="F153" s="386"/>
      <c r="G153" s="17"/>
      <c r="H153" s="17"/>
    </row>
    <row r="154" spans="2:28" x14ac:dyDescent="0.25">
      <c r="B154" s="386" t="s">
        <v>254</v>
      </c>
      <c r="C154" s="386"/>
      <c r="D154" s="386" t="s">
        <v>254</v>
      </c>
      <c r="E154" s="386"/>
      <c r="F154" s="192" t="s">
        <v>313</v>
      </c>
      <c r="G154" s="17" t="s">
        <v>314</v>
      </c>
      <c r="H154" s="17" t="s">
        <v>316</v>
      </c>
      <c r="P154" s="284" t="s">
        <v>68</v>
      </c>
      <c r="Q154" s="284">
        <v>40</v>
      </c>
      <c r="R154" s="284">
        <v>60</v>
      </c>
      <c r="V154" s="378" t="s">
        <v>465</v>
      </c>
      <c r="W154" s="379"/>
      <c r="X154" s="379"/>
      <c r="Y154" s="379"/>
      <c r="Z154" s="380"/>
    </row>
    <row r="155" spans="2:28" x14ac:dyDescent="0.25">
      <c r="B155" s="17">
        <v>0</v>
      </c>
      <c r="C155" s="17">
        <v>10</v>
      </c>
      <c r="D155" s="17"/>
      <c r="E155" s="17"/>
      <c r="F155" s="17">
        <v>0</v>
      </c>
      <c r="G155" s="17">
        <v>1</v>
      </c>
      <c r="H155" s="17">
        <f>(F155*G155+F156*G156+F157*G157+F158*G158+F159*G159+F160*G160+F161*G161)/100</f>
        <v>1.67</v>
      </c>
      <c r="P155" s="284" t="s">
        <v>427</v>
      </c>
      <c r="Q155" s="284">
        <v>2</v>
      </c>
      <c r="R155" s="284">
        <v>35</v>
      </c>
      <c r="V155" s="381" t="s">
        <v>466</v>
      </c>
      <c r="W155" s="382"/>
      <c r="X155" s="382"/>
      <c r="Y155" s="382"/>
      <c r="Z155" s="383"/>
    </row>
    <row r="156" spans="2:28" x14ac:dyDescent="0.25">
      <c r="B156" s="17">
        <v>11</v>
      </c>
      <c r="C156" s="17">
        <v>25</v>
      </c>
      <c r="D156" s="17">
        <v>13</v>
      </c>
      <c r="E156" s="17">
        <v>25</v>
      </c>
      <c r="F156" s="17">
        <f t="shared" ref="F156:F161" si="18">E156-D156+1</f>
        <v>13</v>
      </c>
      <c r="G156" s="17">
        <v>1.5</v>
      </c>
      <c r="H156" s="17"/>
      <c r="P156" s="86">
        <v>164</v>
      </c>
      <c r="V156" s="384" t="s">
        <v>401</v>
      </c>
      <c r="W156" s="385"/>
      <c r="X156" s="285" t="s">
        <v>402</v>
      </c>
      <c r="Y156" s="285" t="s">
        <v>470</v>
      </c>
      <c r="Z156" s="294" t="s">
        <v>471</v>
      </c>
    </row>
    <row r="157" spans="2:28" x14ac:dyDescent="0.25">
      <c r="B157" s="17">
        <v>26</v>
      </c>
      <c r="C157" s="17">
        <v>55</v>
      </c>
      <c r="D157" s="17">
        <v>26</v>
      </c>
      <c r="E157" s="17">
        <v>55</v>
      </c>
      <c r="F157" s="17">
        <f t="shared" si="18"/>
        <v>30</v>
      </c>
      <c r="G157" s="17">
        <v>1.5</v>
      </c>
      <c r="H157" s="17"/>
      <c r="P157" s="86">
        <v>192</v>
      </c>
      <c r="V157" s="289">
        <v>26</v>
      </c>
      <c r="W157" s="285">
        <v>55</v>
      </c>
      <c r="X157" s="299">
        <f>IF('DMG PLANNER'!I35&gt;=26,((56-'DMG PLANNER'!I35)/75),30/IF('DMG PLANNER'!I35&gt;=26,100-'DMG PLANNER'!I35,75))</f>
        <v>0.37333333333333335</v>
      </c>
      <c r="Y157" s="291">
        <f>IF(('DMG PLANNER'!E36-3)&lt;=0,100,(100-(('DMG PLANNER'!E36-3)/'DMG PLANNER'!E36)*100))</f>
        <v>30</v>
      </c>
      <c r="Z157" s="294">
        <f>X157*Y157+X158*Y158+X159*Y159</f>
        <v>44.533333333333339</v>
      </c>
      <c r="AB157" s="300"/>
    </row>
    <row r="158" spans="2:28" x14ac:dyDescent="0.25">
      <c r="B158" s="17">
        <v>56</v>
      </c>
      <c r="C158" s="17">
        <v>85</v>
      </c>
      <c r="D158" s="17">
        <v>56</v>
      </c>
      <c r="E158" s="17">
        <v>85</v>
      </c>
      <c r="F158" s="17">
        <f t="shared" si="18"/>
        <v>30</v>
      </c>
      <c r="G158" s="17">
        <v>1.5</v>
      </c>
      <c r="H158" s="17"/>
      <c r="P158" s="86">
        <v>218</v>
      </c>
      <c r="V158" s="289">
        <v>56</v>
      </c>
      <c r="W158" s="285">
        <v>85</v>
      </c>
      <c r="X158" s="299">
        <f>30/IF('DMG PLANNER'!I35&gt;=26,100-'DMG PLANNER'!I35,75)</f>
        <v>0.41666666666666669</v>
      </c>
      <c r="Y158" s="285">
        <f>IF(('DMG PLANNER'!E36-3)&lt;=0,100,(100-(('DMG PLANNER'!E36-3)/'DMG PLANNER'!E36)*100))</f>
        <v>30</v>
      </c>
      <c r="Z158" s="294"/>
    </row>
    <row r="159" spans="2:28" x14ac:dyDescent="0.25">
      <c r="B159" s="17">
        <v>86</v>
      </c>
      <c r="C159" s="17">
        <v>100</v>
      </c>
      <c r="D159" s="17">
        <v>86</v>
      </c>
      <c r="E159" s="17">
        <v>100</v>
      </c>
      <c r="F159" s="17">
        <f t="shared" si="18"/>
        <v>15</v>
      </c>
      <c r="G159" s="17">
        <v>2</v>
      </c>
      <c r="H159" s="17"/>
      <c r="P159" s="86">
        <v>210</v>
      </c>
      <c r="V159" s="289">
        <v>86</v>
      </c>
      <c r="W159" s="285">
        <v>100</v>
      </c>
      <c r="X159" s="299">
        <f>15/IF('DMG PLANNER'!I35&gt;=26,100-'DMG PLANNER'!I35,75)</f>
        <v>0.20833333333333334</v>
      </c>
      <c r="Y159" s="285">
        <v>100</v>
      </c>
      <c r="Z159" s="293"/>
    </row>
    <row r="160" spans="2:28" x14ac:dyDescent="0.25">
      <c r="B160" s="17">
        <v>101</v>
      </c>
      <c r="C160" s="17">
        <v>110</v>
      </c>
      <c r="D160" s="17">
        <v>101</v>
      </c>
      <c r="E160" s="17">
        <v>110</v>
      </c>
      <c r="F160" s="17">
        <f t="shared" si="18"/>
        <v>10</v>
      </c>
      <c r="G160" s="17">
        <v>2</v>
      </c>
      <c r="H160" s="17"/>
      <c r="P160" s="86">
        <v>214</v>
      </c>
    </row>
    <row r="161" spans="2:26" x14ac:dyDescent="0.25">
      <c r="B161" s="17">
        <v>111</v>
      </c>
      <c r="C161" s="17">
        <v>120</v>
      </c>
      <c r="D161" s="17">
        <v>111</v>
      </c>
      <c r="E161" s="17">
        <v>113</v>
      </c>
      <c r="F161" s="17">
        <f t="shared" si="18"/>
        <v>3</v>
      </c>
      <c r="G161" s="17">
        <v>2.5</v>
      </c>
      <c r="H161" s="17"/>
      <c r="P161" s="86">
        <v>153</v>
      </c>
      <c r="V161" s="384" t="s">
        <v>467</v>
      </c>
      <c r="W161" s="385"/>
      <c r="X161" s="385"/>
      <c r="Y161" s="385"/>
      <c r="Z161" s="387"/>
    </row>
    <row r="162" spans="2:26" x14ac:dyDescent="0.25">
      <c r="V162" s="384" t="s">
        <v>401</v>
      </c>
      <c r="W162" s="385"/>
      <c r="X162" s="285" t="s">
        <v>402</v>
      </c>
      <c r="Y162" s="285" t="s">
        <v>470</v>
      </c>
      <c r="Z162" s="294" t="s">
        <v>471</v>
      </c>
    </row>
    <row r="163" spans="2:26" x14ac:dyDescent="0.25">
      <c r="B163" s="386" t="s">
        <v>331</v>
      </c>
      <c r="C163" s="386"/>
      <c r="D163" s="386"/>
      <c r="E163" s="386"/>
      <c r="F163" s="386"/>
      <c r="G163" s="17"/>
      <c r="H163" s="17"/>
      <c r="P163" s="284" t="s">
        <v>426</v>
      </c>
      <c r="Q163" s="284">
        <f>Q155/5</f>
        <v>0.4</v>
      </c>
      <c r="R163" s="284">
        <f>R155/5</f>
        <v>7</v>
      </c>
      <c r="V163" s="289">
        <v>26</v>
      </c>
      <c r="W163" s="285">
        <v>55</v>
      </c>
      <c r="X163" s="299" t="s">
        <v>472</v>
      </c>
      <c r="Y163" s="291" t="s">
        <v>473</v>
      </c>
      <c r="Z163" s="294">
        <f>Z157</f>
        <v>44.533333333333339</v>
      </c>
    </row>
    <row r="164" spans="2:26" x14ac:dyDescent="0.25">
      <c r="B164" s="386" t="s">
        <v>254</v>
      </c>
      <c r="C164" s="386"/>
      <c r="D164" s="386" t="s">
        <v>254</v>
      </c>
      <c r="E164" s="386"/>
      <c r="F164" s="192" t="s">
        <v>313</v>
      </c>
      <c r="G164" s="17" t="s">
        <v>314</v>
      </c>
      <c r="H164" s="17" t="s">
        <v>316</v>
      </c>
      <c r="Q164" s="86">
        <f>Q154*0.91*4</f>
        <v>145.6</v>
      </c>
      <c r="R164" s="284">
        <f>R154*0.93*4</f>
        <v>223.20000000000002</v>
      </c>
      <c r="V164" s="289">
        <v>56</v>
      </c>
      <c r="W164" s="285">
        <v>85</v>
      </c>
      <c r="X164" s="299" t="s">
        <v>472</v>
      </c>
      <c r="Y164" s="285" t="s">
        <v>473</v>
      </c>
      <c r="Z164" s="294"/>
    </row>
    <row r="165" spans="2:26" x14ac:dyDescent="0.25">
      <c r="B165" s="17">
        <v>0</v>
      </c>
      <c r="C165" s="17">
        <v>10</v>
      </c>
      <c r="D165" s="17"/>
      <c r="E165" s="17"/>
      <c r="F165" s="17">
        <v>0</v>
      </c>
      <c r="G165" s="17">
        <v>1</v>
      </c>
      <c r="H165" s="17">
        <f>(F165*G165+F166*G166+F167*G167+F168*G168+F169*G169+F170*G170+F171*G171)/100</f>
        <v>1.68</v>
      </c>
      <c r="V165" s="289">
        <v>86</v>
      </c>
      <c r="W165" s="285">
        <v>100</v>
      </c>
      <c r="X165" s="299" t="s">
        <v>472</v>
      </c>
      <c r="Y165" s="285" t="s">
        <v>473</v>
      </c>
      <c r="Z165" s="293"/>
    </row>
    <row r="166" spans="2:26" x14ac:dyDescent="0.25">
      <c r="B166" s="17">
        <v>11</v>
      </c>
      <c r="C166" s="17">
        <v>25</v>
      </c>
      <c r="D166" s="17">
        <v>14</v>
      </c>
      <c r="E166" s="17">
        <v>25</v>
      </c>
      <c r="F166" s="17">
        <f t="shared" ref="F166:F171" si="19">E166-D166+1</f>
        <v>12</v>
      </c>
      <c r="G166" s="17">
        <v>1.5</v>
      </c>
      <c r="H166" s="17"/>
    </row>
    <row r="167" spans="2:26" x14ac:dyDescent="0.25">
      <c r="B167" s="17">
        <v>26</v>
      </c>
      <c r="C167" s="17">
        <v>55</v>
      </c>
      <c r="D167" s="17">
        <v>26</v>
      </c>
      <c r="E167" s="17">
        <v>55</v>
      </c>
      <c r="F167" s="17">
        <f t="shared" si="19"/>
        <v>30</v>
      </c>
      <c r="G167" s="17">
        <v>1.5</v>
      </c>
      <c r="H167" s="17"/>
      <c r="V167" s="384" t="s">
        <v>468</v>
      </c>
      <c r="W167" s="385"/>
      <c r="X167" s="385"/>
      <c r="Y167" s="385"/>
      <c r="Z167" s="387"/>
    </row>
    <row r="168" spans="2:26" x14ac:dyDescent="0.25">
      <c r="B168" s="17">
        <v>56</v>
      </c>
      <c r="C168" s="17">
        <v>85</v>
      </c>
      <c r="D168" s="17">
        <v>56</v>
      </c>
      <c r="E168" s="17">
        <v>85</v>
      </c>
      <c r="F168" s="17">
        <f t="shared" si="19"/>
        <v>30</v>
      </c>
      <c r="G168" s="17">
        <v>1.5</v>
      </c>
      <c r="H168" s="17"/>
      <c r="V168" s="384" t="s">
        <v>401</v>
      </c>
      <c r="W168" s="385"/>
      <c r="X168" s="285" t="s">
        <v>402</v>
      </c>
      <c r="Y168" s="285" t="s">
        <v>470</v>
      </c>
      <c r="Z168" s="294" t="s">
        <v>471</v>
      </c>
    </row>
    <row r="169" spans="2:26" x14ac:dyDescent="0.25">
      <c r="B169" s="17">
        <v>86</v>
      </c>
      <c r="C169" s="17">
        <v>100</v>
      </c>
      <c r="D169" s="17">
        <v>86</v>
      </c>
      <c r="E169" s="17">
        <v>100</v>
      </c>
      <c r="F169" s="17">
        <f t="shared" si="19"/>
        <v>15</v>
      </c>
      <c r="G169" s="17">
        <v>2</v>
      </c>
      <c r="H169" s="17"/>
      <c r="P169" s="86" t="s">
        <v>428</v>
      </c>
      <c r="Q169" s="86">
        <v>6</v>
      </c>
      <c r="R169" s="86">
        <v>13</v>
      </c>
      <c r="S169" s="86" t="s">
        <v>449</v>
      </c>
      <c r="T169" s="86" t="s">
        <v>450</v>
      </c>
      <c r="V169" s="289">
        <v>26</v>
      </c>
      <c r="W169" s="285">
        <v>55</v>
      </c>
      <c r="X169" s="299">
        <f>IF('DMG PLANNER'!K35&gt;=26,((56-'DMG PLANNER'!K35)/75),30/IF('DMG PLANNER'!K35&gt;=26,100-'DMG PLANNER'!K35,75))</f>
        <v>0.37333333333333335</v>
      </c>
      <c r="Y169" s="291">
        <f>IF(('DMG PLANNER'!E36-4)&lt;=0,100,(100-(('DMG PLANNER'!E36-4)/'DMG PLANNER'!E36)*100))</f>
        <v>40</v>
      </c>
      <c r="Z169" s="294">
        <f>X169*Y169+X170*Y170+X171*Y171</f>
        <v>52.433333333333337</v>
      </c>
    </row>
    <row r="170" spans="2:26" x14ac:dyDescent="0.25">
      <c r="B170" s="17">
        <v>101</v>
      </c>
      <c r="C170" s="17">
        <v>110</v>
      </c>
      <c r="D170" s="17">
        <v>101</v>
      </c>
      <c r="E170" s="17">
        <v>110</v>
      </c>
      <c r="F170" s="17">
        <f t="shared" si="19"/>
        <v>10</v>
      </c>
      <c r="G170" s="17">
        <v>2</v>
      </c>
      <c r="H170" s="17"/>
      <c r="P170" s="86" t="s">
        <v>429</v>
      </c>
      <c r="Q170" s="86">
        <v>8</v>
      </c>
      <c r="R170" s="86">
        <v>60</v>
      </c>
      <c r="S170" s="86" t="s">
        <v>431</v>
      </c>
      <c r="V170" s="289">
        <v>56</v>
      </c>
      <c r="W170" s="285">
        <v>85</v>
      </c>
      <c r="X170" s="299">
        <f>30/IF('DMG PLANNER'!K35&gt;=26,100-'DMG PLANNER'!K35,75)</f>
        <v>0.41666666666666669</v>
      </c>
      <c r="Y170" s="285">
        <f>IF(('DMG PLANNER'!E36-4)&lt;=0,100,(100-(('DMG PLANNER'!E36-4)/'DMG PLANNER'!E36)*100))</f>
        <v>40</v>
      </c>
      <c r="Z170" s="294"/>
    </row>
    <row r="171" spans="2:26" x14ac:dyDescent="0.25">
      <c r="B171" s="17">
        <v>111</v>
      </c>
      <c r="C171" s="17">
        <v>120</v>
      </c>
      <c r="D171" s="17">
        <v>111</v>
      </c>
      <c r="E171" s="17">
        <v>114</v>
      </c>
      <c r="F171" s="17">
        <f t="shared" si="19"/>
        <v>4</v>
      </c>
      <c r="G171" s="17">
        <v>2.5</v>
      </c>
      <c r="H171" s="17"/>
      <c r="P171" s="86">
        <v>39</v>
      </c>
      <c r="V171" s="289">
        <v>86</v>
      </c>
      <c r="W171" s="285">
        <v>100</v>
      </c>
      <c r="X171" s="299">
        <f>15/IF('DMG PLANNER'!K35&gt;=26,100-'DMG PLANNER'!K35,75)</f>
        <v>0.20833333333333334</v>
      </c>
      <c r="Y171" s="285">
        <v>100</v>
      </c>
      <c r="Z171" s="293"/>
    </row>
    <row r="172" spans="2:26" x14ac:dyDescent="0.25">
      <c r="P172" s="86">
        <v>26</v>
      </c>
    </row>
    <row r="173" spans="2:26" x14ac:dyDescent="0.25">
      <c r="B173" s="386" t="s">
        <v>332</v>
      </c>
      <c r="C173" s="386"/>
      <c r="D173" s="386"/>
      <c r="E173" s="386"/>
      <c r="F173" s="386"/>
      <c r="G173" s="17"/>
      <c r="H173" s="17"/>
      <c r="V173" s="384" t="s">
        <v>469</v>
      </c>
      <c r="W173" s="385"/>
      <c r="X173" s="385"/>
      <c r="Y173" s="385"/>
      <c r="Z173" s="387"/>
    </row>
    <row r="174" spans="2:26" x14ac:dyDescent="0.25">
      <c r="B174" s="386" t="s">
        <v>254</v>
      </c>
      <c r="C174" s="386"/>
      <c r="D174" s="386" t="s">
        <v>254</v>
      </c>
      <c r="E174" s="386"/>
      <c r="F174" s="192" t="s">
        <v>313</v>
      </c>
      <c r="G174" s="17" t="s">
        <v>314</v>
      </c>
      <c r="H174" s="17" t="s">
        <v>316</v>
      </c>
      <c r="V174" s="384" t="s">
        <v>401</v>
      </c>
      <c r="W174" s="385"/>
      <c r="X174" s="285" t="s">
        <v>402</v>
      </c>
      <c r="Y174" s="285" t="s">
        <v>398</v>
      </c>
      <c r="Z174" s="294" t="s">
        <v>403</v>
      </c>
    </row>
    <row r="175" spans="2:26" x14ac:dyDescent="0.25">
      <c r="B175" s="17">
        <v>0</v>
      </c>
      <c r="C175" s="17">
        <v>10</v>
      </c>
      <c r="D175" s="17"/>
      <c r="E175" s="17"/>
      <c r="F175" s="17">
        <v>0</v>
      </c>
      <c r="G175" s="17">
        <v>1</v>
      </c>
      <c r="H175" s="17">
        <f>(F175*G175+F176*G176+F177*G177+F178*G178+F179*G179+F180*G180+F181*G181)/100</f>
        <v>1.69</v>
      </c>
      <c r="P175" s="86" t="s">
        <v>430</v>
      </c>
      <c r="Q175" s="86">
        <f>Q170/5</f>
        <v>1.6</v>
      </c>
      <c r="R175" s="86">
        <f>R170/5</f>
        <v>12</v>
      </c>
      <c r="V175" s="384"/>
      <c r="W175" s="385"/>
      <c r="X175" s="290"/>
      <c r="Y175" s="291"/>
      <c r="Z175" s="294"/>
    </row>
    <row r="176" spans="2:26" x14ac:dyDescent="0.25">
      <c r="B176" s="17">
        <v>11</v>
      </c>
      <c r="C176" s="17">
        <v>25</v>
      </c>
      <c r="D176" s="17">
        <v>15</v>
      </c>
      <c r="E176" s="17">
        <v>25</v>
      </c>
      <c r="F176" s="17">
        <f t="shared" ref="F176:F181" si="20">E176-D176+1</f>
        <v>11</v>
      </c>
      <c r="G176" s="17">
        <v>1.5</v>
      </c>
      <c r="H176" s="17"/>
      <c r="Q176" s="86">
        <f>(Q169*4-1)*2*0.7*0.84</f>
        <v>27.047999999999995</v>
      </c>
      <c r="R176" s="284">
        <f>(R169*4*2-1)</f>
        <v>103</v>
      </c>
      <c r="V176" s="289">
        <v>26</v>
      </c>
      <c r="W176" s="285">
        <v>55</v>
      </c>
      <c r="X176" s="290">
        <f>IF('DMG PLANNER'!M35&gt;=26,((56-'DMG PLANNER'!M35)/75),30/IF('DMG PLANNER'!M35&gt;=26,100-'DMG PLANNER'!M35,75))</f>
        <v>0.37333333333333335</v>
      </c>
      <c r="Y176" s="291">
        <f>IF(('DMG PLANNER'!E36-3)&lt;=0,100,(100-(('DMG PLANNER'!E36-3)/'DMG PLANNER'!E36)*100))</f>
        <v>30</v>
      </c>
      <c r="Z176" s="294">
        <f>X176*Y176+X177*Y177+X178*Y178</f>
        <v>48.7</v>
      </c>
    </row>
    <row r="177" spans="2:27" x14ac:dyDescent="0.25">
      <c r="B177" s="17">
        <v>26</v>
      </c>
      <c r="C177" s="17">
        <v>55</v>
      </c>
      <c r="D177" s="17">
        <v>26</v>
      </c>
      <c r="E177" s="17">
        <v>55</v>
      </c>
      <c r="F177" s="17">
        <f t="shared" si="20"/>
        <v>30</v>
      </c>
      <c r="G177" s="17">
        <v>1.5</v>
      </c>
      <c r="H177" s="17"/>
      <c r="V177" s="289">
        <v>56</v>
      </c>
      <c r="W177" s="285">
        <v>85</v>
      </c>
      <c r="X177" s="290">
        <f>30/IF('DMG PLANNER'!M35&gt;=26,100-'DMG PLANNER'!M35,75)</f>
        <v>0.41666666666666669</v>
      </c>
      <c r="Y177" s="285">
        <f>IF(('DMG PLANNER'!E36-4)&lt;=0,100,(100-(('DMG PLANNER'!E36-4)/'DMG PLANNER'!E36)*100))</f>
        <v>40</v>
      </c>
      <c r="Z177" s="294"/>
    </row>
    <row r="178" spans="2:27" x14ac:dyDescent="0.25">
      <c r="B178" s="17">
        <v>56</v>
      </c>
      <c r="C178" s="17">
        <v>85</v>
      </c>
      <c r="D178" s="17">
        <v>56</v>
      </c>
      <c r="E178" s="17">
        <v>85</v>
      </c>
      <c r="F178" s="17">
        <f t="shared" si="20"/>
        <v>30</v>
      </c>
      <c r="G178" s="17">
        <v>1.5</v>
      </c>
      <c r="H178" s="17"/>
      <c r="O178" s="86" t="s">
        <v>432</v>
      </c>
      <c r="P178" s="86" t="s">
        <v>431</v>
      </c>
      <c r="Q178" s="86">
        <v>8</v>
      </c>
      <c r="R178" s="86">
        <v>80</v>
      </c>
      <c r="V178" s="289">
        <v>86</v>
      </c>
      <c r="W178" s="285">
        <v>100</v>
      </c>
      <c r="X178" s="285">
        <f>15/IF('DMG PLANNER'!M35&gt;=26,100-'DMG PLANNER'!M35,75)</f>
        <v>0.20833333333333334</v>
      </c>
      <c r="Y178" s="285">
        <v>100</v>
      </c>
      <c r="Z178" s="294"/>
    </row>
    <row r="179" spans="2:27" x14ac:dyDescent="0.25">
      <c r="B179" s="17">
        <v>86</v>
      </c>
      <c r="C179" s="17">
        <v>100</v>
      </c>
      <c r="D179" s="17">
        <v>86</v>
      </c>
      <c r="E179" s="17">
        <v>100</v>
      </c>
      <c r="F179" s="17">
        <f t="shared" si="20"/>
        <v>15</v>
      </c>
      <c r="G179" s="17">
        <v>2</v>
      </c>
      <c r="H179" s="17"/>
      <c r="O179" s="86" t="s">
        <v>433</v>
      </c>
      <c r="P179" s="86">
        <v>47</v>
      </c>
      <c r="X179" s="318"/>
    </row>
    <row r="180" spans="2:27" x14ac:dyDescent="0.25">
      <c r="B180" s="17">
        <v>101</v>
      </c>
      <c r="C180" s="17">
        <v>110</v>
      </c>
      <c r="D180" s="17">
        <v>101</v>
      </c>
      <c r="E180" s="17">
        <v>110</v>
      </c>
      <c r="F180" s="17">
        <f t="shared" si="20"/>
        <v>10</v>
      </c>
      <c r="G180" s="17">
        <v>2</v>
      </c>
      <c r="H180" s="17"/>
      <c r="P180" s="86">
        <v>52</v>
      </c>
      <c r="X180" s="318"/>
    </row>
    <row r="181" spans="2:27" x14ac:dyDescent="0.25">
      <c r="B181" s="17">
        <v>111</v>
      </c>
      <c r="C181" s="17">
        <v>120</v>
      </c>
      <c r="D181" s="17">
        <v>111</v>
      </c>
      <c r="E181" s="17">
        <v>115</v>
      </c>
      <c r="F181" s="17">
        <f t="shared" si="20"/>
        <v>5</v>
      </c>
      <c r="G181" s="17">
        <v>2.5</v>
      </c>
      <c r="H181" s="17"/>
      <c r="P181" s="86">
        <v>56</v>
      </c>
      <c r="V181" s="289"/>
      <c r="W181" s="285"/>
      <c r="X181" s="290"/>
      <c r="Y181" s="291"/>
      <c r="Z181" s="294"/>
    </row>
    <row r="182" spans="2:27" x14ac:dyDescent="0.25">
      <c r="P182" s="86" t="s">
        <v>426</v>
      </c>
      <c r="Q182" s="86">
        <f>Q178/5</f>
        <v>1.6</v>
      </c>
      <c r="R182" s="86">
        <f>(80+30)/5</f>
        <v>22</v>
      </c>
      <c r="V182" s="295"/>
      <c r="W182" s="296"/>
      <c r="X182" s="297"/>
      <c r="Y182" s="296"/>
      <c r="Z182" s="298"/>
    </row>
    <row r="183" spans="2:27" x14ac:dyDescent="0.25">
      <c r="B183" s="386" t="s">
        <v>333</v>
      </c>
      <c r="C183" s="386"/>
      <c r="D183" s="386"/>
      <c r="E183" s="386"/>
      <c r="F183" s="386"/>
      <c r="G183" s="17"/>
      <c r="H183" s="17"/>
      <c r="Q183" s="86">
        <f>(Q169-1)*2*4*0.78</f>
        <v>31.200000000000003</v>
      </c>
      <c r="R183" s="86">
        <f>(R169-1)*2*4*0.78</f>
        <v>74.88</v>
      </c>
    </row>
    <row r="184" spans="2:27" x14ac:dyDescent="0.25">
      <c r="B184" s="386" t="s">
        <v>254</v>
      </c>
      <c r="C184" s="386"/>
      <c r="D184" s="386" t="s">
        <v>254</v>
      </c>
      <c r="E184" s="386"/>
      <c r="F184" s="192" t="s">
        <v>313</v>
      </c>
      <c r="G184" s="17" t="s">
        <v>314</v>
      </c>
      <c r="H184" s="17" t="s">
        <v>316</v>
      </c>
    </row>
    <row r="185" spans="2:27" x14ac:dyDescent="0.25">
      <c r="B185" s="17">
        <v>0</v>
      </c>
      <c r="C185" s="17">
        <v>10</v>
      </c>
      <c r="D185" s="17"/>
      <c r="E185" s="17"/>
      <c r="F185" s="17">
        <v>0</v>
      </c>
      <c r="G185" s="17">
        <v>1</v>
      </c>
      <c r="H185" s="17">
        <f>(F185*G185+F186*G186+F187*G187+F188*G188+F189*G189+F190*G190+F191*G191)/100</f>
        <v>1.7</v>
      </c>
    </row>
    <row r="186" spans="2:27" x14ac:dyDescent="0.25">
      <c r="B186" s="17">
        <v>11</v>
      </c>
      <c r="C186" s="17">
        <v>25</v>
      </c>
      <c r="D186" s="17">
        <v>16</v>
      </c>
      <c r="E186" s="17">
        <v>25</v>
      </c>
      <c r="F186" s="17">
        <f t="shared" ref="F186:F191" si="21">E186-D186+1</f>
        <v>10</v>
      </c>
      <c r="G186" s="17">
        <v>1.5</v>
      </c>
      <c r="H186" s="17"/>
      <c r="U186" s="86" t="s">
        <v>436</v>
      </c>
    </row>
    <row r="187" spans="2:27" x14ac:dyDescent="0.25">
      <c r="B187" s="17">
        <v>26</v>
      </c>
      <c r="C187" s="17">
        <v>55</v>
      </c>
      <c r="D187" s="17">
        <v>26</v>
      </c>
      <c r="E187" s="17">
        <v>55</v>
      </c>
      <c r="F187" s="17">
        <f t="shared" si="21"/>
        <v>30</v>
      </c>
      <c r="G187" s="17">
        <v>1.5</v>
      </c>
      <c r="H187" s="17"/>
      <c r="P187" s="86" t="s">
        <v>434</v>
      </c>
      <c r="Q187" s="86">
        <v>2</v>
      </c>
      <c r="R187" s="86">
        <v>4</v>
      </c>
      <c r="U187" s="86" t="s">
        <v>437</v>
      </c>
    </row>
    <row r="188" spans="2:27" x14ac:dyDescent="0.25">
      <c r="B188" s="17">
        <v>56</v>
      </c>
      <c r="C188" s="17">
        <v>85</v>
      </c>
      <c r="D188" s="17">
        <v>56</v>
      </c>
      <c r="E188" s="17">
        <v>85</v>
      </c>
      <c r="F188" s="17">
        <f t="shared" si="21"/>
        <v>30</v>
      </c>
      <c r="G188" s="17">
        <v>1.5</v>
      </c>
      <c r="H188" s="17"/>
      <c r="P188" s="86" t="s">
        <v>429</v>
      </c>
      <c r="Q188" s="86">
        <v>8</v>
      </c>
      <c r="R188" s="86">
        <v>80</v>
      </c>
    </row>
    <row r="189" spans="2:27" x14ac:dyDescent="0.25">
      <c r="B189" s="17">
        <v>86</v>
      </c>
      <c r="C189" s="17">
        <v>100</v>
      </c>
      <c r="D189" s="17">
        <v>86</v>
      </c>
      <c r="E189" s="17">
        <v>100</v>
      </c>
      <c r="F189" s="17">
        <f t="shared" si="21"/>
        <v>15</v>
      </c>
      <c r="G189" s="17">
        <v>2</v>
      </c>
      <c r="H189" s="17"/>
      <c r="P189" s="86">
        <v>10</v>
      </c>
    </row>
    <row r="190" spans="2:27" x14ac:dyDescent="0.25">
      <c r="B190" s="17">
        <v>101</v>
      </c>
      <c r="C190" s="17">
        <v>110</v>
      </c>
      <c r="D190" s="17">
        <v>101</v>
      </c>
      <c r="E190" s="17">
        <v>110</v>
      </c>
      <c r="F190" s="17">
        <f t="shared" si="21"/>
        <v>10</v>
      </c>
      <c r="G190" s="17">
        <v>2</v>
      </c>
      <c r="H190" s="17"/>
      <c r="P190" s="86">
        <v>13</v>
      </c>
      <c r="V190" s="378" t="s">
        <v>475</v>
      </c>
      <c r="W190" s="379"/>
      <c r="X190" s="379"/>
      <c r="Y190" s="379"/>
      <c r="Z190" s="380"/>
    </row>
    <row r="191" spans="2:27" x14ac:dyDescent="0.25">
      <c r="B191" s="17">
        <v>111</v>
      </c>
      <c r="C191" s="17">
        <v>120</v>
      </c>
      <c r="D191" s="17">
        <v>111</v>
      </c>
      <c r="E191" s="17">
        <v>116</v>
      </c>
      <c r="F191" s="17">
        <f t="shared" si="21"/>
        <v>6</v>
      </c>
      <c r="G191" s="17">
        <v>2.5</v>
      </c>
      <c r="H191" s="17"/>
      <c r="P191" s="86">
        <v>6</v>
      </c>
      <c r="V191" s="381" t="s">
        <v>476</v>
      </c>
      <c r="W191" s="382"/>
      <c r="X191" s="382"/>
      <c r="Y191" s="382"/>
      <c r="Z191" s="383"/>
    </row>
    <row r="192" spans="2:27" x14ac:dyDescent="0.25">
      <c r="P192" s="86">
        <v>13</v>
      </c>
      <c r="V192" s="384" t="s">
        <v>401</v>
      </c>
      <c r="W192" s="385"/>
      <c r="X192" s="285" t="s">
        <v>402</v>
      </c>
      <c r="Y192" s="285" t="s">
        <v>477</v>
      </c>
      <c r="Z192" s="294" t="s">
        <v>478</v>
      </c>
      <c r="AA192" s="86" t="s">
        <v>496</v>
      </c>
    </row>
    <row r="193" spans="2:29" x14ac:dyDescent="0.25">
      <c r="B193" s="386" t="s">
        <v>334</v>
      </c>
      <c r="C193" s="386"/>
      <c r="D193" s="386"/>
      <c r="E193" s="386"/>
      <c r="F193" s="386"/>
      <c r="G193" s="17"/>
      <c r="H193" s="17"/>
      <c r="P193" s="86">
        <v>10</v>
      </c>
      <c r="V193" s="289">
        <v>26</v>
      </c>
      <c r="W193" s="285">
        <v>55</v>
      </c>
      <c r="X193" s="299">
        <f>AC193/100</f>
        <v>0.27722772277227725</v>
      </c>
      <c r="Y193" s="291">
        <f>IF(('DMG PLANNER'!E36-3)&lt;=0,100,(100-(('DMG PLANNER'!E36-3)/'DMG PLANNER'!E36)*100))</f>
        <v>30</v>
      </c>
      <c r="Z193" s="294">
        <f>X193*Y193+X194*Y194+X195*Y195+X196*Y196+X197*Y197</f>
        <v>30.099009900990097</v>
      </c>
      <c r="AA193" s="86">
        <f>IF('DMG PLANNER'!L35&gt;=26,56-'DMG PLANNER'!L35,30)</f>
        <v>28</v>
      </c>
      <c r="AB193" s="86">
        <f>AA193/$AA$199</f>
        <v>0.27722772277227725</v>
      </c>
      <c r="AC193" s="86">
        <f>AB193*100</f>
        <v>27.722772277227726</v>
      </c>
    </row>
    <row r="194" spans="2:29" x14ac:dyDescent="0.25">
      <c r="B194" s="386" t="s">
        <v>254</v>
      </c>
      <c r="C194" s="386"/>
      <c r="D194" s="386" t="s">
        <v>254</v>
      </c>
      <c r="E194" s="386"/>
      <c r="F194" s="192" t="s">
        <v>313</v>
      </c>
      <c r="G194" s="17" t="s">
        <v>314</v>
      </c>
      <c r="H194" s="17" t="s">
        <v>316</v>
      </c>
      <c r="P194" s="86" t="s">
        <v>435</v>
      </c>
      <c r="Q194" s="86">
        <f>Q188/5</f>
        <v>1.6</v>
      </c>
      <c r="R194" s="86">
        <f>R188/5</f>
        <v>16</v>
      </c>
      <c r="T194" s="86">
        <f>(Q187*4)-1.6</f>
        <v>6.4</v>
      </c>
      <c r="U194" s="284">
        <f>(R187*4)-1.6</f>
        <v>14.4</v>
      </c>
      <c r="V194" s="289">
        <v>56</v>
      </c>
      <c r="W194" s="285">
        <v>85</v>
      </c>
      <c r="X194" s="299">
        <f t="shared" ref="X194:X197" si="22">AC194/100</f>
        <v>0.29702970297029702</v>
      </c>
      <c r="Y194" s="285">
        <f>IF(('DMG PLANNER'!E36-4)&lt;=0,100,(100-(('DMG PLANNER'!E36-4)/'DMG PLANNER'!E36)*100))</f>
        <v>40</v>
      </c>
      <c r="Z194" s="294"/>
      <c r="AA194" s="86">
        <v>30</v>
      </c>
      <c r="AB194" s="308">
        <f t="shared" ref="AB194:AB197" si="23">AA194/$AA$199</f>
        <v>0.29702970297029702</v>
      </c>
      <c r="AC194" s="308">
        <f t="shared" ref="AC194:AC197" si="24">AB194*100</f>
        <v>29.702970297029701</v>
      </c>
    </row>
    <row r="195" spans="2:29" x14ac:dyDescent="0.25">
      <c r="B195" s="17">
        <v>0</v>
      </c>
      <c r="C195" s="17">
        <v>10</v>
      </c>
      <c r="D195" s="17"/>
      <c r="E195" s="17"/>
      <c r="F195" s="17">
        <v>0</v>
      </c>
      <c r="G195" s="17">
        <v>1</v>
      </c>
      <c r="H195" s="17">
        <f>(F195*G195+F196*G196+F197*G197+F198*G198+F199*G199+F200*G200+F201*G201)/100</f>
        <v>1.71</v>
      </c>
      <c r="Q195" s="86">
        <f>(Q187-1)*4</f>
        <v>4</v>
      </c>
      <c r="R195" s="86">
        <f>(R187-1)*4</f>
        <v>12</v>
      </c>
      <c r="V195" s="289">
        <v>86</v>
      </c>
      <c r="W195" s="285">
        <v>100</v>
      </c>
      <c r="X195" s="299">
        <f t="shared" si="22"/>
        <v>0.14851485148514851</v>
      </c>
      <c r="Y195" s="291">
        <v>0</v>
      </c>
      <c r="Z195" s="293"/>
      <c r="AA195" s="86">
        <v>15</v>
      </c>
      <c r="AB195" s="308">
        <f t="shared" si="23"/>
        <v>0.14851485148514851</v>
      </c>
      <c r="AC195" s="308">
        <f t="shared" si="24"/>
        <v>14.85148514851485</v>
      </c>
    </row>
    <row r="196" spans="2:29" x14ac:dyDescent="0.25">
      <c r="B196" s="17">
        <v>11</v>
      </c>
      <c r="C196" s="17">
        <v>25</v>
      </c>
      <c r="D196" s="17">
        <v>17</v>
      </c>
      <c r="E196" s="17">
        <v>25</v>
      </c>
      <c r="F196" s="17">
        <f t="shared" ref="F196:F201" si="25">E196-D196+1</f>
        <v>9</v>
      </c>
      <c r="G196" s="17">
        <v>1.5</v>
      </c>
      <c r="H196" s="17"/>
      <c r="V196" s="289">
        <v>101</v>
      </c>
      <c r="W196" s="285">
        <v>110</v>
      </c>
      <c r="X196" s="299">
        <f t="shared" si="22"/>
        <v>9.9009900990099015E-2</v>
      </c>
      <c r="Y196" s="291">
        <v>100</v>
      </c>
      <c r="Z196" s="294"/>
      <c r="AA196" s="86">
        <v>10</v>
      </c>
      <c r="AB196" s="308">
        <f t="shared" si="23"/>
        <v>9.9009900990099015E-2</v>
      </c>
      <c r="AC196" s="308">
        <f t="shared" si="24"/>
        <v>9.9009900990099009</v>
      </c>
    </row>
    <row r="197" spans="2:29" x14ac:dyDescent="0.25">
      <c r="B197" s="17">
        <v>26</v>
      </c>
      <c r="C197" s="17">
        <v>55</v>
      </c>
      <c r="D197" s="17">
        <v>26</v>
      </c>
      <c r="E197" s="17">
        <v>55</v>
      </c>
      <c r="F197" s="17">
        <f t="shared" si="25"/>
        <v>30</v>
      </c>
      <c r="G197" s="17">
        <v>1.5</v>
      </c>
      <c r="H197" s="17"/>
      <c r="V197" s="289">
        <v>111</v>
      </c>
      <c r="W197" s="285">
        <v>120</v>
      </c>
      <c r="X197" s="299">
        <f t="shared" si="22"/>
        <v>0.17821782178217821</v>
      </c>
      <c r="Y197" s="285">
        <v>0</v>
      </c>
      <c r="Z197" s="298"/>
      <c r="AA197" s="308">
        <f>IF(('DMG PLANNER'!L35-10)&gt;=0,('DMG PLANNER'!L35-10),0)</f>
        <v>18</v>
      </c>
      <c r="AB197" s="308">
        <f t="shared" si="23"/>
        <v>0.17821782178217821</v>
      </c>
      <c r="AC197" s="308">
        <f t="shared" si="24"/>
        <v>17.82178217821782</v>
      </c>
    </row>
    <row r="198" spans="2:29" x14ac:dyDescent="0.25">
      <c r="B198" s="17">
        <v>56</v>
      </c>
      <c r="C198" s="17">
        <v>85</v>
      </c>
      <c r="D198" s="17">
        <v>56</v>
      </c>
      <c r="E198" s="17">
        <v>85</v>
      </c>
      <c r="F198" s="17">
        <f t="shared" si="25"/>
        <v>30</v>
      </c>
      <c r="G198" s="17">
        <v>1.5</v>
      </c>
      <c r="H198" s="17"/>
    </row>
    <row r="199" spans="2:29" x14ac:dyDescent="0.25">
      <c r="B199" s="17">
        <v>86</v>
      </c>
      <c r="C199" s="17">
        <v>100</v>
      </c>
      <c r="D199" s="17">
        <v>86</v>
      </c>
      <c r="E199" s="17">
        <v>100</v>
      </c>
      <c r="F199" s="17">
        <f t="shared" si="25"/>
        <v>15</v>
      </c>
      <c r="G199" s="17">
        <v>2</v>
      </c>
      <c r="H199" s="17"/>
      <c r="P199" s="86" t="s">
        <v>438</v>
      </c>
      <c r="Q199" s="86">
        <v>15</v>
      </c>
      <c r="R199" s="86">
        <v>34</v>
      </c>
      <c r="X199" s="301"/>
      <c r="Y199" s="308" t="s">
        <v>486</v>
      </c>
      <c r="Z199" s="86">
        <f>'DMG PLANNER'!L39*'CRIT TABLES'!Z193/100</f>
        <v>18.014257425742574</v>
      </c>
      <c r="AA199" s="86">
        <f>AA193+AA194+AA195+AA196+AA197</f>
        <v>101</v>
      </c>
      <c r="AC199" s="86">
        <f>AC193+AC194+AC195+AC196+AC197</f>
        <v>100</v>
      </c>
    </row>
    <row r="200" spans="2:29" x14ac:dyDescent="0.25">
      <c r="B200" s="17">
        <v>101</v>
      </c>
      <c r="C200" s="17">
        <v>110</v>
      </c>
      <c r="D200" s="17">
        <v>101</v>
      </c>
      <c r="E200" s="17">
        <v>110</v>
      </c>
      <c r="F200" s="17">
        <f t="shared" si="25"/>
        <v>10</v>
      </c>
      <c r="G200" s="17">
        <v>2</v>
      </c>
      <c r="H200" s="17"/>
      <c r="P200" s="86" t="s">
        <v>439</v>
      </c>
      <c r="Q200" s="86">
        <v>7</v>
      </c>
      <c r="R200" s="86">
        <v>78</v>
      </c>
      <c r="X200" s="301"/>
      <c r="Y200" s="308" t="s">
        <v>487</v>
      </c>
      <c r="Z200" s="86">
        <f>Z199*((100+AC222)/100)</f>
        <v>15.312118811881188</v>
      </c>
    </row>
    <row r="201" spans="2:29" x14ac:dyDescent="0.25">
      <c r="B201" s="17">
        <v>111</v>
      </c>
      <c r="C201" s="17">
        <v>120</v>
      </c>
      <c r="D201" s="17">
        <v>111</v>
      </c>
      <c r="E201" s="17">
        <v>117</v>
      </c>
      <c r="F201" s="17">
        <f t="shared" si="25"/>
        <v>7</v>
      </c>
      <c r="G201" s="17">
        <v>2.5</v>
      </c>
      <c r="H201" s="17"/>
      <c r="P201" s="86">
        <v>95</v>
      </c>
      <c r="Y201" s="308" t="s">
        <v>491</v>
      </c>
      <c r="Z201" s="308">
        <f>'DMG PLANNER'!L39*0.1+Z200</f>
        <v>21.297118811881187</v>
      </c>
    </row>
    <row r="202" spans="2:29" x14ac:dyDescent="0.25">
      <c r="P202" s="86">
        <v>127</v>
      </c>
    </row>
    <row r="203" spans="2:29" x14ac:dyDescent="0.25">
      <c r="B203" s="386" t="s">
        <v>335</v>
      </c>
      <c r="C203" s="386"/>
      <c r="D203" s="386"/>
      <c r="E203" s="386"/>
      <c r="F203" s="386"/>
      <c r="G203" s="17"/>
      <c r="H203" s="17"/>
      <c r="P203" s="86">
        <v>95</v>
      </c>
    </row>
    <row r="204" spans="2:29" x14ac:dyDescent="0.25">
      <c r="B204" s="386" t="s">
        <v>254</v>
      </c>
      <c r="C204" s="386"/>
      <c r="D204" s="386" t="s">
        <v>254</v>
      </c>
      <c r="E204" s="386"/>
      <c r="F204" s="192" t="s">
        <v>313</v>
      </c>
      <c r="G204" s="17" t="s">
        <v>314</v>
      </c>
      <c r="H204" s="17" t="s">
        <v>316</v>
      </c>
      <c r="P204" s="86">
        <v>79</v>
      </c>
    </row>
    <row r="205" spans="2:29" x14ac:dyDescent="0.25">
      <c r="B205" s="17">
        <v>0</v>
      </c>
      <c r="C205" s="17">
        <v>10</v>
      </c>
      <c r="D205" s="17"/>
      <c r="E205" s="17"/>
      <c r="F205" s="17">
        <v>0</v>
      </c>
      <c r="G205" s="17">
        <v>1</v>
      </c>
      <c r="H205" s="17">
        <f>(F205*G205+F206*G206+F207*G207+F208*G208+F209*G209+F210*G210+F211*G211)/100</f>
        <v>1.72</v>
      </c>
      <c r="P205" s="86" t="s">
        <v>435</v>
      </c>
      <c r="Q205" s="86">
        <v>1.6</v>
      </c>
      <c r="R205" s="86">
        <f>58/5</f>
        <v>11.6</v>
      </c>
      <c r="U205" s="284" t="s">
        <v>436</v>
      </c>
    </row>
    <row r="206" spans="2:29" x14ac:dyDescent="0.25">
      <c r="B206" s="17">
        <v>11</v>
      </c>
      <c r="C206" s="17">
        <v>25</v>
      </c>
      <c r="D206" s="17">
        <v>18</v>
      </c>
      <c r="E206" s="17">
        <v>25</v>
      </c>
      <c r="F206" s="17">
        <f t="shared" ref="F206:F211" si="26">E206-D206+1</f>
        <v>8</v>
      </c>
      <c r="G206" s="17">
        <v>1.5</v>
      </c>
      <c r="H206" s="17"/>
      <c r="Q206" s="86">
        <f>Q199*4</f>
        <v>60</v>
      </c>
      <c r="R206" s="284">
        <f>R199*4</f>
        <v>136</v>
      </c>
      <c r="U206" s="86" t="s">
        <v>443</v>
      </c>
    </row>
    <row r="207" spans="2:29" x14ac:dyDescent="0.25">
      <c r="B207" s="17">
        <v>26</v>
      </c>
      <c r="C207" s="17">
        <v>55</v>
      </c>
      <c r="D207" s="17">
        <v>26</v>
      </c>
      <c r="E207" s="17">
        <v>55</v>
      </c>
      <c r="F207" s="17">
        <f t="shared" si="26"/>
        <v>30</v>
      </c>
      <c r="G207" s="17">
        <v>1.5</v>
      </c>
      <c r="H207" s="17"/>
      <c r="Q207" s="86">
        <f>(Q199-1)*4</f>
        <v>56</v>
      </c>
      <c r="R207" s="284">
        <f>(R199-1)*4</f>
        <v>132</v>
      </c>
    </row>
    <row r="208" spans="2:29" x14ac:dyDescent="0.25">
      <c r="B208" s="17">
        <v>56</v>
      </c>
      <c r="C208" s="17">
        <v>85</v>
      </c>
      <c r="D208" s="17">
        <v>56</v>
      </c>
      <c r="E208" s="17">
        <v>85</v>
      </c>
      <c r="F208" s="17">
        <f t="shared" si="26"/>
        <v>30</v>
      </c>
      <c r="G208" s="17">
        <v>1.5</v>
      </c>
      <c r="H208" s="17"/>
      <c r="V208" s="319" t="s">
        <v>485</v>
      </c>
    </row>
    <row r="209" spans="2:29" x14ac:dyDescent="0.25">
      <c r="B209" s="17">
        <v>86</v>
      </c>
      <c r="C209" s="17">
        <v>100</v>
      </c>
      <c r="D209" s="17">
        <v>86</v>
      </c>
      <c r="E209" s="17">
        <v>100</v>
      </c>
      <c r="F209" s="17">
        <f t="shared" si="26"/>
        <v>15</v>
      </c>
      <c r="G209" s="17">
        <v>2</v>
      </c>
      <c r="H209" s="17"/>
      <c r="U209" s="319"/>
      <c r="V209" s="320" t="s">
        <v>484</v>
      </c>
    </row>
    <row r="210" spans="2:29" x14ac:dyDescent="0.25">
      <c r="B210" s="17">
        <v>101</v>
      </c>
      <c r="C210" s="17">
        <v>110</v>
      </c>
      <c r="D210" s="17">
        <v>101</v>
      </c>
      <c r="E210" s="17">
        <v>110</v>
      </c>
      <c r="F210" s="17">
        <f t="shared" si="26"/>
        <v>10</v>
      </c>
      <c r="G210" s="17">
        <v>2</v>
      </c>
      <c r="H210" s="17"/>
    </row>
    <row r="211" spans="2:29" x14ac:dyDescent="0.25">
      <c r="B211" s="17">
        <v>111</v>
      </c>
      <c r="C211" s="17">
        <v>120</v>
      </c>
      <c r="D211" s="17">
        <v>111</v>
      </c>
      <c r="E211" s="17">
        <v>118</v>
      </c>
      <c r="F211" s="17">
        <f t="shared" si="26"/>
        <v>8</v>
      </c>
      <c r="G211" s="17">
        <v>2.5</v>
      </c>
      <c r="H211" s="17"/>
      <c r="O211" s="86" t="s">
        <v>441</v>
      </c>
      <c r="P211" s="284" t="s">
        <v>440</v>
      </c>
      <c r="Q211" s="284">
        <v>15</v>
      </c>
      <c r="R211" s="284">
        <v>34</v>
      </c>
      <c r="V211" s="378" t="s">
        <v>482</v>
      </c>
      <c r="W211" s="379"/>
      <c r="X211" s="379"/>
      <c r="Y211" s="379"/>
      <c r="Z211" s="380"/>
    </row>
    <row r="212" spans="2:29" x14ac:dyDescent="0.25">
      <c r="O212" s="86" t="s">
        <v>442</v>
      </c>
      <c r="P212" s="284" t="s">
        <v>439</v>
      </c>
      <c r="Q212" s="284">
        <v>8</v>
      </c>
      <c r="R212" s="284">
        <v>80</v>
      </c>
      <c r="V212" s="381" t="s">
        <v>488</v>
      </c>
      <c r="W212" s="382"/>
      <c r="X212" s="382"/>
      <c r="Y212" s="382"/>
      <c r="Z212" s="383"/>
    </row>
    <row r="213" spans="2:29" x14ac:dyDescent="0.25">
      <c r="B213" s="386" t="s">
        <v>336</v>
      </c>
      <c r="C213" s="386"/>
      <c r="D213" s="386"/>
      <c r="E213" s="386"/>
      <c r="F213" s="386"/>
      <c r="G213" s="17"/>
      <c r="H213" s="17"/>
      <c r="P213" s="86">
        <v>123</v>
      </c>
      <c r="V213" s="384" t="s">
        <v>401</v>
      </c>
      <c r="W213" s="385"/>
      <c r="X213" s="310" t="s">
        <v>402</v>
      </c>
      <c r="Y213" s="310" t="s">
        <v>477</v>
      </c>
      <c r="Z213" s="312" t="s">
        <v>497</v>
      </c>
    </row>
    <row r="214" spans="2:29" x14ac:dyDescent="0.25">
      <c r="B214" s="386" t="s">
        <v>254</v>
      </c>
      <c r="C214" s="386"/>
      <c r="D214" s="386" t="s">
        <v>254</v>
      </c>
      <c r="E214" s="386"/>
      <c r="F214" s="192" t="s">
        <v>313</v>
      </c>
      <c r="G214" s="17" t="s">
        <v>314</v>
      </c>
      <c r="H214" s="17" t="s">
        <v>316</v>
      </c>
      <c r="P214" s="86">
        <v>74</v>
      </c>
      <c r="V214" s="309">
        <v>56</v>
      </c>
      <c r="W214" s="310">
        <v>85</v>
      </c>
      <c r="X214" s="299">
        <f>AB214</f>
        <v>0.41095890410958902</v>
      </c>
      <c r="Y214" s="291">
        <f>IF(('DMG PLANNER'!E36-2)&lt;=0,100,(100-(('DMG PLANNER'!E36-2)/'DMG PLANNER'!E36)*100))</f>
        <v>20</v>
      </c>
      <c r="Z214" s="312">
        <f>X214*Y214+X215*Y215+X216*Y216+X217*Y217</f>
        <v>43.150684931506845</v>
      </c>
      <c r="AA214" s="86">
        <v>30</v>
      </c>
      <c r="AB214" s="86">
        <f>AA214/AA219</f>
        <v>0.41095890410958902</v>
      </c>
      <c r="AC214" s="86">
        <f>AB214*100</f>
        <v>41.095890410958901</v>
      </c>
    </row>
    <row r="215" spans="2:29" x14ac:dyDescent="0.25">
      <c r="B215" s="17">
        <v>0</v>
      </c>
      <c r="C215" s="17">
        <v>10</v>
      </c>
      <c r="D215" s="17"/>
      <c r="E215" s="17"/>
      <c r="F215" s="17">
        <v>0</v>
      </c>
      <c r="G215" s="17">
        <v>1</v>
      </c>
      <c r="H215" s="17">
        <f>(F215*G215+F216*G216+F217*G217+F218*G218+F219*G219+F220*G220+F221*G221)/100</f>
        <v>1.73</v>
      </c>
      <c r="P215" s="86">
        <v>139</v>
      </c>
      <c r="V215" s="309">
        <v>86</v>
      </c>
      <c r="W215" s="310">
        <v>100</v>
      </c>
      <c r="X215" s="299">
        <f>AB215</f>
        <v>0.20547945205479451</v>
      </c>
      <c r="Y215" s="310">
        <f>IF(('DMG PLANNER'!E36-5)&lt;=0,100,(100-(('DMG PLANNER'!E36-5)/'DMG PLANNER'!E36)*100))</f>
        <v>50</v>
      </c>
      <c r="Z215" s="312"/>
      <c r="AA215" s="86">
        <v>15</v>
      </c>
      <c r="AB215" s="86">
        <f>AA215/AA219</f>
        <v>0.20547945205479451</v>
      </c>
      <c r="AC215" s="308">
        <f t="shared" ref="AC215:AC217" si="27">AB215*100</f>
        <v>20.547945205479451</v>
      </c>
    </row>
    <row r="216" spans="2:29" x14ac:dyDescent="0.25">
      <c r="B216" s="17">
        <v>11</v>
      </c>
      <c r="C216" s="17">
        <v>25</v>
      </c>
      <c r="D216" s="17">
        <v>19</v>
      </c>
      <c r="E216" s="17">
        <v>25</v>
      </c>
      <c r="F216" s="17">
        <f t="shared" ref="F216:F221" si="28">E216-D216+1</f>
        <v>7</v>
      </c>
      <c r="G216" s="17">
        <v>1.5</v>
      </c>
      <c r="H216" s="17"/>
      <c r="P216" s="86">
        <v>102</v>
      </c>
      <c r="V216" s="309">
        <v>101</v>
      </c>
      <c r="W216" s="310">
        <v>110</v>
      </c>
      <c r="X216" s="299">
        <f>AB216</f>
        <v>0.13698630136986301</v>
      </c>
      <c r="Y216" s="291">
        <v>0</v>
      </c>
      <c r="Z216" s="293"/>
      <c r="AA216" s="86">
        <v>10</v>
      </c>
      <c r="AB216" s="86">
        <f>AA216/AA219</f>
        <v>0.13698630136986301</v>
      </c>
      <c r="AC216" s="308">
        <f t="shared" si="27"/>
        <v>13.698630136986301</v>
      </c>
    </row>
    <row r="217" spans="2:29" x14ac:dyDescent="0.25">
      <c r="B217" s="17">
        <v>26</v>
      </c>
      <c r="C217" s="17">
        <v>55</v>
      </c>
      <c r="D217" s="17">
        <v>26</v>
      </c>
      <c r="E217" s="17">
        <v>55</v>
      </c>
      <c r="F217" s="17">
        <f t="shared" si="28"/>
        <v>30</v>
      </c>
      <c r="G217" s="17">
        <v>1.5</v>
      </c>
      <c r="H217" s="17"/>
      <c r="P217" s="86">
        <v>104</v>
      </c>
      <c r="V217" s="309">
        <v>111</v>
      </c>
      <c r="W217" s="310">
        <v>120</v>
      </c>
      <c r="X217" s="299">
        <f>AB217</f>
        <v>0.24657534246575341</v>
      </c>
      <c r="Y217" s="291">
        <v>100</v>
      </c>
      <c r="Z217" s="312"/>
      <c r="AA217" s="195">
        <f>IF(('DMG PLANNER'!L35-10)&gt;=0,('DMG PLANNER'!L35-10),0)</f>
        <v>18</v>
      </c>
      <c r="AB217" s="86">
        <f>AA217/AA219</f>
        <v>0.24657534246575341</v>
      </c>
      <c r="AC217" s="308">
        <f t="shared" si="27"/>
        <v>24.657534246575342</v>
      </c>
    </row>
    <row r="218" spans="2:29" x14ac:dyDescent="0.25">
      <c r="B218" s="17">
        <v>56</v>
      </c>
      <c r="C218" s="17">
        <v>85</v>
      </c>
      <c r="D218" s="17">
        <v>56</v>
      </c>
      <c r="E218" s="17">
        <v>85</v>
      </c>
      <c r="F218" s="17">
        <f t="shared" si="28"/>
        <v>30</v>
      </c>
      <c r="G218" s="17">
        <v>1.5</v>
      </c>
      <c r="H218" s="17"/>
      <c r="P218" s="86" t="s">
        <v>435</v>
      </c>
      <c r="Q218" s="86">
        <v>1.6</v>
      </c>
      <c r="R218" s="86">
        <v>16</v>
      </c>
      <c r="X218" s="290">
        <f>X214+X215+X216+X217</f>
        <v>1</v>
      </c>
      <c r="Y218" s="310"/>
      <c r="Z218" s="298"/>
    </row>
    <row r="219" spans="2:29" x14ac:dyDescent="0.25">
      <c r="B219" s="17">
        <v>86</v>
      </c>
      <c r="C219" s="17">
        <v>100</v>
      </c>
      <c r="D219" s="17">
        <v>86</v>
      </c>
      <c r="E219" s="17">
        <v>100</v>
      </c>
      <c r="F219" s="17">
        <f t="shared" si="28"/>
        <v>15</v>
      </c>
      <c r="G219" s="17">
        <v>2</v>
      </c>
      <c r="H219" s="17"/>
      <c r="Q219" s="86">
        <f>(Q211-1)*4*3*0.5</f>
        <v>84</v>
      </c>
      <c r="R219" s="284">
        <f>(R211-1)*3*4*0.5</f>
        <v>198</v>
      </c>
      <c r="V219" s="86" t="s">
        <v>483</v>
      </c>
      <c r="AA219" s="195">
        <f>AA214+AA215+AA216+AA217</f>
        <v>73</v>
      </c>
      <c r="AC219" s="86">
        <f>AC214+AC215+AC216+AC217</f>
        <v>99.999999999999986</v>
      </c>
    </row>
    <row r="220" spans="2:29" x14ac:dyDescent="0.25">
      <c r="B220" s="17">
        <v>101</v>
      </c>
      <c r="C220" s="17">
        <v>110</v>
      </c>
      <c r="D220" s="17">
        <v>101</v>
      </c>
      <c r="E220" s="17">
        <v>110</v>
      </c>
      <c r="F220" s="17">
        <f t="shared" si="28"/>
        <v>10</v>
      </c>
      <c r="G220" s="17">
        <v>2</v>
      </c>
      <c r="H220" s="17"/>
      <c r="V220" s="313">
        <f>X214+X215+X216+X217</f>
        <v>1</v>
      </c>
      <c r="Y220" s="86" t="s">
        <v>486</v>
      </c>
      <c r="Z220" s="86">
        <f>Z214*('DMG PLANNER'!L39/100)</f>
        <v>25.825684931506849</v>
      </c>
      <c r="AB220" s="86" t="s">
        <v>499</v>
      </c>
      <c r="AC220" s="86">
        <f>IF('DMG PLANNER'!F36="yes",3,0)</f>
        <v>0</v>
      </c>
    </row>
    <row r="221" spans="2:29" x14ac:dyDescent="0.25">
      <c r="B221" s="17">
        <v>111</v>
      </c>
      <c r="C221" s="17">
        <v>120</v>
      </c>
      <c r="D221" s="17">
        <v>111</v>
      </c>
      <c r="E221" s="17">
        <v>119</v>
      </c>
      <c r="F221" s="17">
        <f t="shared" si="28"/>
        <v>9</v>
      </c>
      <c r="G221" s="17">
        <v>2.5</v>
      </c>
      <c r="H221" s="17"/>
      <c r="X221" s="86">
        <f>Z220*1.25</f>
        <v>32.282106164383563</v>
      </c>
      <c r="Y221" s="86" t="s">
        <v>487</v>
      </c>
      <c r="Z221" s="86">
        <f>Z220*((100+AC222)/100)</f>
        <v>21.95183219178082</v>
      </c>
      <c r="AB221" s="86" t="s">
        <v>489</v>
      </c>
      <c r="AC221" s="195">
        <f>('DMG PLANNER'!N21-'DMG PLANNER'!D36-AC220)</f>
        <v>-3</v>
      </c>
    </row>
    <row r="222" spans="2:29" x14ac:dyDescent="0.25">
      <c r="O222" s="284" t="s">
        <v>441</v>
      </c>
      <c r="P222" s="284" t="s">
        <v>440</v>
      </c>
      <c r="Q222" s="284">
        <v>15</v>
      </c>
      <c r="R222" s="284">
        <v>34</v>
      </c>
      <c r="Y222" s="86" t="s">
        <v>491</v>
      </c>
      <c r="Z222" s="313">
        <f>'DMG PLANNER'!L39*0.1+Z221</f>
        <v>27.93683219178082</v>
      </c>
      <c r="AB222" s="86" t="s">
        <v>490</v>
      </c>
      <c r="AC222" s="86">
        <f>AC221*5</f>
        <v>-15</v>
      </c>
    </row>
    <row r="223" spans="2:29" x14ac:dyDescent="0.25">
      <c r="B223" s="386" t="s">
        <v>319</v>
      </c>
      <c r="C223" s="386"/>
      <c r="D223" s="386"/>
      <c r="E223" s="386"/>
      <c r="F223" s="386"/>
      <c r="G223" s="17"/>
      <c r="H223" s="17"/>
      <c r="O223" s="284" t="s">
        <v>442</v>
      </c>
      <c r="P223" s="284" t="s">
        <v>444</v>
      </c>
      <c r="Q223" s="284">
        <v>2</v>
      </c>
      <c r="R223" s="284">
        <v>40</v>
      </c>
    </row>
    <row r="224" spans="2:29" x14ac:dyDescent="0.25">
      <c r="B224" s="386" t="s">
        <v>254</v>
      </c>
      <c r="C224" s="386"/>
      <c r="D224" s="386" t="s">
        <v>254</v>
      </c>
      <c r="E224" s="386"/>
      <c r="F224" s="192" t="s">
        <v>313</v>
      </c>
      <c r="G224" s="17" t="s">
        <v>314</v>
      </c>
      <c r="H224" s="17" t="s">
        <v>316</v>
      </c>
      <c r="O224" s="284"/>
      <c r="P224" s="284">
        <v>157</v>
      </c>
      <c r="Q224" s="284"/>
      <c r="R224" s="284"/>
    </row>
    <row r="225" spans="2:19" x14ac:dyDescent="0.25">
      <c r="B225" s="17">
        <v>0</v>
      </c>
      <c r="C225" s="17">
        <v>10</v>
      </c>
      <c r="D225" s="17"/>
      <c r="E225" s="17"/>
      <c r="F225" s="17">
        <v>0</v>
      </c>
      <c r="G225" s="17">
        <v>1</v>
      </c>
      <c r="H225" s="17">
        <f>(F225*G225+F226*G226+F227*G227+F228*G228+F229*G229+F230*G230+F231*G231)/100</f>
        <v>1.74</v>
      </c>
      <c r="O225" s="284"/>
      <c r="P225" s="284">
        <v>126</v>
      </c>
      <c r="Q225" s="284"/>
      <c r="R225" s="284"/>
    </row>
    <row r="226" spans="2:19" x14ac:dyDescent="0.25">
      <c r="B226" s="17">
        <v>11</v>
      </c>
      <c r="C226" s="17">
        <v>25</v>
      </c>
      <c r="D226" s="17">
        <v>20</v>
      </c>
      <c r="E226" s="17">
        <v>25</v>
      </c>
      <c r="F226" s="17">
        <f t="shared" ref="F226:F231" si="29">E226-D226+1</f>
        <v>6</v>
      </c>
      <c r="G226" s="17">
        <v>1.5</v>
      </c>
      <c r="H226" s="17"/>
      <c r="O226" s="284"/>
      <c r="P226" s="284">
        <v>121</v>
      </c>
      <c r="Q226" s="284"/>
      <c r="R226" s="284"/>
    </row>
    <row r="227" spans="2:19" x14ac:dyDescent="0.25">
      <c r="B227" s="17">
        <v>26</v>
      </c>
      <c r="C227" s="17">
        <v>55</v>
      </c>
      <c r="D227" s="17">
        <v>26</v>
      </c>
      <c r="E227" s="17">
        <v>55</v>
      </c>
      <c r="F227" s="17">
        <f t="shared" si="29"/>
        <v>30</v>
      </c>
      <c r="G227" s="17">
        <v>1.5</v>
      </c>
      <c r="H227" s="17"/>
      <c r="O227" s="284"/>
      <c r="P227" s="284"/>
      <c r="Q227" s="284"/>
      <c r="R227" s="284"/>
    </row>
    <row r="228" spans="2:19" x14ac:dyDescent="0.25">
      <c r="B228" s="17">
        <v>56</v>
      </c>
      <c r="C228" s="17">
        <v>85</v>
      </c>
      <c r="D228" s="17">
        <v>56</v>
      </c>
      <c r="E228" s="17">
        <v>85</v>
      </c>
      <c r="F228" s="17">
        <f t="shared" si="29"/>
        <v>30</v>
      </c>
      <c r="G228" s="17">
        <v>1.5</v>
      </c>
      <c r="H228" s="17"/>
      <c r="O228" s="284"/>
      <c r="P228" s="284"/>
      <c r="Q228" s="284"/>
      <c r="R228" s="284"/>
    </row>
    <row r="229" spans="2:19" x14ac:dyDescent="0.25">
      <c r="B229" s="17">
        <v>86</v>
      </c>
      <c r="C229" s="17">
        <v>100</v>
      </c>
      <c r="D229" s="17">
        <v>86</v>
      </c>
      <c r="E229" s="17">
        <v>100</v>
      </c>
      <c r="F229" s="17">
        <f t="shared" si="29"/>
        <v>15</v>
      </c>
      <c r="G229" s="17">
        <v>2</v>
      </c>
      <c r="H229" s="17"/>
      <c r="O229" s="284"/>
      <c r="P229" s="284" t="s">
        <v>435</v>
      </c>
      <c r="Q229" s="284">
        <v>0.5</v>
      </c>
      <c r="R229" s="284">
        <f>R223/5</f>
        <v>8</v>
      </c>
    </row>
    <row r="230" spans="2:19" x14ac:dyDescent="0.25">
      <c r="B230" s="17">
        <v>101</v>
      </c>
      <c r="C230" s="17">
        <v>110</v>
      </c>
      <c r="D230" s="17">
        <v>101</v>
      </c>
      <c r="E230" s="17">
        <v>110</v>
      </c>
      <c r="F230" s="17">
        <f t="shared" si="29"/>
        <v>10</v>
      </c>
      <c r="G230" s="17">
        <v>2</v>
      </c>
      <c r="H230" s="17"/>
      <c r="P230" s="86" t="s">
        <v>445</v>
      </c>
      <c r="Q230" s="86">
        <f>Q222*3*4*0.5</f>
        <v>90</v>
      </c>
      <c r="R230" s="284">
        <f>R222*3*4*0.5</f>
        <v>204</v>
      </c>
    </row>
    <row r="231" spans="2:19" x14ac:dyDescent="0.25">
      <c r="B231" s="17">
        <v>111</v>
      </c>
      <c r="C231" s="17">
        <v>120</v>
      </c>
      <c r="D231" s="17">
        <v>111</v>
      </c>
      <c r="E231" s="17">
        <v>120</v>
      </c>
      <c r="F231" s="17">
        <f t="shared" si="29"/>
        <v>10</v>
      </c>
      <c r="G231" s="17">
        <v>2.5</v>
      </c>
      <c r="H231" s="17"/>
    </row>
    <row r="233" spans="2:19" x14ac:dyDescent="0.25">
      <c r="B233" s="386" t="s">
        <v>337</v>
      </c>
      <c r="C233" s="386"/>
      <c r="D233" s="386"/>
      <c r="E233" s="386"/>
      <c r="F233" s="386"/>
      <c r="G233" s="17"/>
      <c r="H233" s="17"/>
    </row>
    <row r="234" spans="2:19" x14ac:dyDescent="0.25">
      <c r="B234" s="386" t="s">
        <v>254</v>
      </c>
      <c r="C234" s="386"/>
      <c r="D234" s="386" t="s">
        <v>254</v>
      </c>
      <c r="E234" s="386"/>
      <c r="F234" s="192" t="s">
        <v>313</v>
      </c>
      <c r="G234" s="17" t="s">
        <v>314</v>
      </c>
      <c r="H234" s="17" t="s">
        <v>316</v>
      </c>
      <c r="P234" s="86" t="s">
        <v>446</v>
      </c>
      <c r="Q234" s="86">
        <v>30</v>
      </c>
      <c r="R234" s="86">
        <v>40</v>
      </c>
      <c r="S234" s="86" t="s">
        <v>448</v>
      </c>
    </row>
    <row r="235" spans="2:19" x14ac:dyDescent="0.25">
      <c r="B235" s="17">
        <v>0</v>
      </c>
      <c r="C235" s="17">
        <v>10</v>
      </c>
      <c r="D235" s="17"/>
      <c r="E235" s="17"/>
      <c r="F235" s="17">
        <v>0</v>
      </c>
      <c r="G235" s="17">
        <v>1</v>
      </c>
      <c r="H235" s="17">
        <f>(F235*G235+F236*G236+F237*G237+F238*G238+F239*G239+F240*G240+F241*G241)/100</f>
        <v>1.75</v>
      </c>
      <c r="O235" s="86" t="s">
        <v>447</v>
      </c>
      <c r="P235" s="86" t="s">
        <v>429</v>
      </c>
      <c r="Q235" s="86">
        <v>8</v>
      </c>
      <c r="R235" s="86">
        <v>80</v>
      </c>
    </row>
    <row r="236" spans="2:19" x14ac:dyDescent="0.25">
      <c r="B236" s="17">
        <v>11</v>
      </c>
      <c r="C236" s="17">
        <v>25</v>
      </c>
      <c r="D236" s="17">
        <v>21</v>
      </c>
      <c r="E236" s="17">
        <v>25</v>
      </c>
      <c r="F236" s="17">
        <f t="shared" ref="F236:F241" si="30">E236-D236+1</f>
        <v>5</v>
      </c>
      <c r="G236" s="17">
        <v>1.5</v>
      </c>
      <c r="H236" s="17"/>
      <c r="P236" s="86">
        <v>159</v>
      </c>
    </row>
    <row r="237" spans="2:19" x14ac:dyDescent="0.25">
      <c r="B237" s="17">
        <v>26</v>
      </c>
      <c r="C237" s="17">
        <v>55</v>
      </c>
      <c r="D237" s="17">
        <v>26</v>
      </c>
      <c r="E237" s="17">
        <v>55</v>
      </c>
      <c r="F237" s="17">
        <f t="shared" si="30"/>
        <v>30</v>
      </c>
      <c r="G237" s="17">
        <v>1.5</v>
      </c>
      <c r="H237" s="17"/>
      <c r="P237" s="86">
        <v>127</v>
      </c>
    </row>
    <row r="238" spans="2:19" x14ac:dyDescent="0.25">
      <c r="B238" s="17">
        <v>56</v>
      </c>
      <c r="C238" s="17">
        <v>85</v>
      </c>
      <c r="D238" s="17">
        <v>56</v>
      </c>
      <c r="E238" s="17">
        <v>85</v>
      </c>
      <c r="F238" s="17">
        <f t="shared" si="30"/>
        <v>30</v>
      </c>
      <c r="G238" s="17">
        <v>1.5</v>
      </c>
      <c r="H238" s="17"/>
      <c r="P238" s="86">
        <v>131</v>
      </c>
    </row>
    <row r="239" spans="2:19" x14ac:dyDescent="0.25">
      <c r="B239" s="17">
        <v>86</v>
      </c>
      <c r="C239" s="17">
        <v>100</v>
      </c>
      <c r="D239" s="17">
        <v>86</v>
      </c>
      <c r="E239" s="17">
        <v>100</v>
      </c>
      <c r="F239" s="17">
        <f t="shared" si="30"/>
        <v>15</v>
      </c>
      <c r="G239" s="17">
        <v>2</v>
      </c>
      <c r="H239" s="17"/>
      <c r="P239" s="86">
        <v>119</v>
      </c>
    </row>
    <row r="240" spans="2:19" x14ac:dyDescent="0.25">
      <c r="B240" s="17">
        <v>101</v>
      </c>
      <c r="C240" s="17">
        <v>110</v>
      </c>
      <c r="D240" s="17">
        <v>101</v>
      </c>
      <c r="E240" s="17">
        <v>110</v>
      </c>
      <c r="F240" s="17">
        <f t="shared" si="30"/>
        <v>10</v>
      </c>
      <c r="G240" s="17">
        <v>2</v>
      </c>
      <c r="H240" s="17"/>
      <c r="P240" s="86">
        <v>131</v>
      </c>
    </row>
    <row r="241" spans="2:22" x14ac:dyDescent="0.25">
      <c r="B241" s="17">
        <v>111</v>
      </c>
      <c r="C241" s="17">
        <v>120</v>
      </c>
      <c r="D241" s="17">
        <v>111</v>
      </c>
      <c r="E241" s="17">
        <v>121</v>
      </c>
      <c r="F241" s="17">
        <f t="shared" si="30"/>
        <v>11</v>
      </c>
      <c r="G241" s="17">
        <v>2.5</v>
      </c>
      <c r="H241" s="17"/>
      <c r="P241" s="86" t="s">
        <v>435</v>
      </c>
      <c r="Q241" s="86">
        <v>1.6</v>
      </c>
    </row>
    <row r="242" spans="2:22" x14ac:dyDescent="0.25">
      <c r="Q242" s="86">
        <f>Q234*4-1</f>
        <v>119</v>
      </c>
      <c r="R242" s="284">
        <f>R234*4-1</f>
        <v>159</v>
      </c>
    </row>
    <row r="243" spans="2:22" x14ac:dyDescent="0.25">
      <c r="B243" s="386" t="s">
        <v>338</v>
      </c>
      <c r="C243" s="386"/>
      <c r="D243" s="386"/>
      <c r="E243" s="386"/>
      <c r="F243" s="386"/>
      <c r="G243" s="17"/>
      <c r="H243" s="17"/>
    </row>
    <row r="244" spans="2:22" x14ac:dyDescent="0.25">
      <c r="B244" s="386" t="s">
        <v>254</v>
      </c>
      <c r="C244" s="386"/>
      <c r="D244" s="386" t="s">
        <v>254</v>
      </c>
      <c r="E244" s="386"/>
      <c r="F244" s="192" t="s">
        <v>313</v>
      </c>
      <c r="G244" s="17" t="s">
        <v>314</v>
      </c>
      <c r="H244" s="17" t="s">
        <v>316</v>
      </c>
    </row>
    <row r="245" spans="2:22" x14ac:dyDescent="0.25">
      <c r="B245" s="17">
        <v>0</v>
      </c>
      <c r="C245" s="17">
        <v>10</v>
      </c>
      <c r="D245" s="17"/>
      <c r="E245" s="17"/>
      <c r="F245" s="17">
        <v>0</v>
      </c>
      <c r="G245" s="17">
        <v>1</v>
      </c>
      <c r="H245" s="17">
        <f>(F245*G245+F246*G246+F247*G247+F248*G248+F249*G249+F250*G250+F251*G251)/100</f>
        <v>1.76</v>
      </c>
    </row>
    <row r="246" spans="2:22" x14ac:dyDescent="0.25">
      <c r="B246" s="17">
        <v>11</v>
      </c>
      <c r="C246" s="17">
        <v>25</v>
      </c>
      <c r="D246" s="17">
        <v>22</v>
      </c>
      <c r="E246" s="17">
        <v>25</v>
      </c>
      <c r="F246" s="17">
        <f t="shared" ref="F246:F251" si="31">E246-D246+1</f>
        <v>4</v>
      </c>
      <c r="G246" s="17">
        <v>1.5</v>
      </c>
      <c r="H246" s="17"/>
    </row>
    <row r="247" spans="2:22" x14ac:dyDescent="0.25">
      <c r="B247" s="17">
        <v>26</v>
      </c>
      <c r="C247" s="17">
        <v>55</v>
      </c>
      <c r="D247" s="17">
        <v>26</v>
      </c>
      <c r="E247" s="17">
        <v>55</v>
      </c>
      <c r="F247" s="17">
        <f t="shared" si="31"/>
        <v>30</v>
      </c>
      <c r="G247" s="17">
        <v>1.5</v>
      </c>
      <c r="H247" s="17"/>
    </row>
    <row r="248" spans="2:22" x14ac:dyDescent="0.25">
      <c r="B248" s="17">
        <v>56</v>
      </c>
      <c r="C248" s="17">
        <v>85</v>
      </c>
      <c r="D248" s="17">
        <v>56</v>
      </c>
      <c r="E248" s="17">
        <v>85</v>
      </c>
      <c r="F248" s="17">
        <f t="shared" si="31"/>
        <v>30</v>
      </c>
      <c r="G248" s="17">
        <v>1.5</v>
      </c>
      <c r="H248" s="17"/>
      <c r="P248" s="86" t="s">
        <v>451</v>
      </c>
      <c r="Q248" s="86">
        <v>6</v>
      </c>
      <c r="R248" s="86">
        <v>13</v>
      </c>
      <c r="S248" s="86" t="s">
        <v>432</v>
      </c>
    </row>
    <row r="249" spans="2:22" x14ac:dyDescent="0.25">
      <c r="B249" s="17">
        <v>86</v>
      </c>
      <c r="C249" s="17">
        <v>100</v>
      </c>
      <c r="D249" s="17">
        <v>86</v>
      </c>
      <c r="E249" s="17">
        <v>100</v>
      </c>
      <c r="F249" s="17">
        <f t="shared" si="31"/>
        <v>15</v>
      </c>
      <c r="G249" s="17">
        <v>2</v>
      </c>
      <c r="H249" s="17"/>
      <c r="P249" s="86" t="s">
        <v>452</v>
      </c>
      <c r="Q249" s="86">
        <v>8</v>
      </c>
      <c r="R249" s="86">
        <v>80</v>
      </c>
      <c r="S249" s="86" t="s">
        <v>453</v>
      </c>
      <c r="U249" s="86">
        <f>R249/5</f>
        <v>16</v>
      </c>
      <c r="V249" s="86">
        <f>100-U249</f>
        <v>84</v>
      </c>
    </row>
    <row r="250" spans="2:22" x14ac:dyDescent="0.25">
      <c r="B250" s="17">
        <v>101</v>
      </c>
      <c r="C250" s="17">
        <v>110</v>
      </c>
      <c r="D250" s="17">
        <v>101</v>
      </c>
      <c r="E250" s="17">
        <v>110</v>
      </c>
      <c r="F250" s="17">
        <f t="shared" si="31"/>
        <v>10</v>
      </c>
      <c r="G250" s="17">
        <v>2</v>
      </c>
      <c r="H250" s="17"/>
      <c r="P250" s="86">
        <v>39</v>
      </c>
      <c r="U250" s="86">
        <f>90/5</f>
        <v>18</v>
      </c>
      <c r="V250" s="86">
        <v>82</v>
      </c>
    </row>
    <row r="251" spans="2:22" x14ac:dyDescent="0.25">
      <c r="B251" s="17">
        <v>111</v>
      </c>
      <c r="C251" s="17">
        <v>120</v>
      </c>
      <c r="D251" s="17">
        <v>111</v>
      </c>
      <c r="E251" s="17">
        <v>122</v>
      </c>
      <c r="F251" s="17">
        <f t="shared" si="31"/>
        <v>12</v>
      </c>
      <c r="G251" s="17">
        <v>2.5</v>
      </c>
      <c r="H251" s="17"/>
      <c r="P251" s="86">
        <v>26</v>
      </c>
    </row>
    <row r="252" spans="2:22" x14ac:dyDescent="0.25">
      <c r="P252" s="86">
        <v>30</v>
      </c>
    </row>
    <row r="253" spans="2:22" x14ac:dyDescent="0.25">
      <c r="B253" s="386" t="s">
        <v>339</v>
      </c>
      <c r="C253" s="386"/>
      <c r="D253" s="386"/>
      <c r="E253" s="386"/>
      <c r="F253" s="386"/>
      <c r="G253" s="17"/>
      <c r="H253" s="17"/>
      <c r="P253" s="86">
        <v>39</v>
      </c>
    </row>
    <row r="254" spans="2:22" x14ac:dyDescent="0.25">
      <c r="B254" s="386" t="s">
        <v>254</v>
      </c>
      <c r="C254" s="386"/>
      <c r="D254" s="386" t="s">
        <v>254</v>
      </c>
      <c r="E254" s="386"/>
      <c r="F254" s="192" t="s">
        <v>313</v>
      </c>
      <c r="G254" s="17" t="s">
        <v>314</v>
      </c>
      <c r="H254" s="17" t="s">
        <v>316</v>
      </c>
      <c r="P254" s="86">
        <v>52</v>
      </c>
    </row>
    <row r="255" spans="2:22" x14ac:dyDescent="0.25">
      <c r="B255" s="17">
        <v>0</v>
      </c>
      <c r="C255" s="17">
        <v>10</v>
      </c>
      <c r="D255" s="17"/>
      <c r="E255" s="17"/>
      <c r="F255" s="17">
        <v>0</v>
      </c>
      <c r="G255" s="17">
        <v>1</v>
      </c>
      <c r="H255" s="17">
        <f>(F255*G255+F256*G256+F257*G257+F258*G258+F259*G259+F260*G260+F261*G261)/100</f>
        <v>1.77</v>
      </c>
      <c r="P255" s="86" t="s">
        <v>454</v>
      </c>
      <c r="Q255" s="86">
        <f>Q248*4</f>
        <v>24</v>
      </c>
      <c r="R255" s="284">
        <f>R248*4</f>
        <v>52</v>
      </c>
    </row>
    <row r="256" spans="2:22" x14ac:dyDescent="0.25">
      <c r="B256" s="17">
        <v>11</v>
      </c>
      <c r="C256" s="17">
        <v>25</v>
      </c>
      <c r="D256" s="17">
        <v>23</v>
      </c>
      <c r="E256" s="17">
        <v>25</v>
      </c>
      <c r="F256" s="17">
        <f t="shared" ref="F256:F261" si="32">E256-D256+1</f>
        <v>3</v>
      </c>
      <c r="G256" s="17">
        <v>1.5</v>
      </c>
      <c r="H256" s="17"/>
      <c r="Q256" s="86">
        <f>(Q255-1)*2*0.82*0.7</f>
        <v>26.403999999999996</v>
      </c>
      <c r="R256" s="284">
        <f>(R255-1)*2*0.82*0.7</f>
        <v>58.547999999999995</v>
      </c>
    </row>
    <row r="257" spans="2:20" x14ac:dyDescent="0.25">
      <c r="B257" s="17">
        <v>26</v>
      </c>
      <c r="C257" s="17">
        <v>55</v>
      </c>
      <c r="D257" s="17">
        <v>26</v>
      </c>
      <c r="E257" s="17">
        <v>55</v>
      </c>
      <c r="F257" s="17">
        <f t="shared" si="32"/>
        <v>30</v>
      </c>
      <c r="G257" s="17">
        <v>1.5</v>
      </c>
      <c r="H257" s="17"/>
    </row>
    <row r="258" spans="2:20" x14ac:dyDescent="0.25">
      <c r="B258" s="17">
        <v>56</v>
      </c>
      <c r="C258" s="17">
        <v>85</v>
      </c>
      <c r="D258" s="17">
        <v>56</v>
      </c>
      <c r="E258" s="17">
        <v>85</v>
      </c>
      <c r="F258" s="17">
        <f t="shared" si="32"/>
        <v>30</v>
      </c>
      <c r="G258" s="17">
        <v>1.5</v>
      </c>
      <c r="H258" s="17"/>
    </row>
    <row r="259" spans="2:20" x14ac:dyDescent="0.25">
      <c r="B259" s="17">
        <v>86</v>
      </c>
      <c r="C259" s="17">
        <v>100</v>
      </c>
      <c r="D259" s="17">
        <v>86</v>
      </c>
      <c r="E259" s="17">
        <v>100</v>
      </c>
      <c r="F259" s="17">
        <f t="shared" si="32"/>
        <v>15</v>
      </c>
      <c r="G259" s="17">
        <v>2</v>
      </c>
      <c r="H259" s="17"/>
      <c r="P259" s="284" t="s">
        <v>455</v>
      </c>
      <c r="Q259" s="284">
        <v>6</v>
      </c>
      <c r="R259" s="284">
        <v>13</v>
      </c>
      <c r="S259" s="284" t="s">
        <v>432</v>
      </c>
      <c r="T259" s="86" t="s">
        <v>456</v>
      </c>
    </row>
    <row r="260" spans="2:20" x14ac:dyDescent="0.25">
      <c r="B260" s="17">
        <v>101</v>
      </c>
      <c r="C260" s="17">
        <v>110</v>
      </c>
      <c r="D260" s="17">
        <v>101</v>
      </c>
      <c r="E260" s="17">
        <v>110</v>
      </c>
      <c r="F260" s="17">
        <f t="shared" si="32"/>
        <v>10</v>
      </c>
      <c r="G260" s="17">
        <v>2</v>
      </c>
      <c r="H260" s="17"/>
      <c r="P260" s="284" t="s">
        <v>452</v>
      </c>
      <c r="Q260" s="284">
        <v>8</v>
      </c>
      <c r="R260" s="284">
        <v>80</v>
      </c>
      <c r="S260" s="284" t="s">
        <v>453</v>
      </c>
    </row>
    <row r="261" spans="2:20" x14ac:dyDescent="0.25">
      <c r="B261" s="17">
        <v>111</v>
      </c>
      <c r="C261" s="17">
        <v>120</v>
      </c>
      <c r="D261" s="17">
        <v>111</v>
      </c>
      <c r="E261" s="17">
        <v>123</v>
      </c>
      <c r="F261" s="17">
        <f t="shared" si="32"/>
        <v>13</v>
      </c>
      <c r="G261" s="17">
        <v>2.5</v>
      </c>
      <c r="H261" s="17"/>
      <c r="P261" s="86">
        <v>47</v>
      </c>
    </row>
    <row r="262" spans="2:20" x14ac:dyDescent="0.25">
      <c r="P262" s="86">
        <v>23</v>
      </c>
    </row>
    <row r="263" spans="2:20" x14ac:dyDescent="0.25">
      <c r="B263" s="386" t="s">
        <v>340</v>
      </c>
      <c r="C263" s="386"/>
      <c r="D263" s="386"/>
      <c r="E263" s="386"/>
      <c r="F263" s="386"/>
      <c r="G263" s="17"/>
      <c r="H263" s="17"/>
      <c r="P263" s="86">
        <v>27</v>
      </c>
    </row>
    <row r="264" spans="2:20" x14ac:dyDescent="0.25">
      <c r="B264" s="386" t="s">
        <v>254</v>
      </c>
      <c r="C264" s="386"/>
      <c r="D264" s="386" t="s">
        <v>254</v>
      </c>
      <c r="E264" s="386"/>
      <c r="F264" s="192" t="s">
        <v>313</v>
      </c>
      <c r="G264" s="17" t="s">
        <v>314</v>
      </c>
      <c r="H264" s="17" t="s">
        <v>316</v>
      </c>
      <c r="P264" s="86" t="s">
        <v>454</v>
      </c>
      <c r="Q264" s="86">
        <f>Q259*4</f>
        <v>24</v>
      </c>
      <c r="R264" s="86">
        <f>R259*4</f>
        <v>52</v>
      </c>
    </row>
    <row r="265" spans="2:20" x14ac:dyDescent="0.25">
      <c r="B265" s="17">
        <v>0</v>
      </c>
      <c r="C265" s="17">
        <v>10</v>
      </c>
      <c r="D265" s="17"/>
      <c r="E265" s="17"/>
      <c r="F265" s="17">
        <v>0</v>
      </c>
      <c r="G265" s="17">
        <v>1</v>
      </c>
      <c r="H265" s="17">
        <f>(F265*G265+F266*G266+F267*G267+F268*G268+F269*G269+F270*G270+F271*G271)/100</f>
        <v>1.78</v>
      </c>
      <c r="Q265" s="284">
        <f>(Q264-1)</f>
        <v>23</v>
      </c>
      <c r="R265" s="284">
        <f>(R264-1)</f>
        <v>51</v>
      </c>
    </row>
    <row r="266" spans="2:20" x14ac:dyDescent="0.25">
      <c r="B266" s="17">
        <v>11</v>
      </c>
      <c r="C266" s="17">
        <v>25</v>
      </c>
      <c r="D266" s="17">
        <v>24</v>
      </c>
      <c r="E266" s="17">
        <v>25</v>
      </c>
      <c r="F266" s="17">
        <f t="shared" ref="F266:F271" si="33">E266-D266+1</f>
        <v>2</v>
      </c>
      <c r="G266" s="17">
        <v>1.5</v>
      </c>
      <c r="H266" s="17"/>
    </row>
    <row r="267" spans="2:20" x14ac:dyDescent="0.25">
      <c r="B267" s="17">
        <v>26</v>
      </c>
      <c r="C267" s="17">
        <v>55</v>
      </c>
      <c r="D267" s="17">
        <v>26</v>
      </c>
      <c r="E267" s="17">
        <v>55</v>
      </c>
      <c r="F267" s="17">
        <f t="shared" si="33"/>
        <v>30</v>
      </c>
      <c r="G267" s="17">
        <v>1.5</v>
      </c>
      <c r="H267" s="17"/>
    </row>
    <row r="268" spans="2:20" x14ac:dyDescent="0.25">
      <c r="B268" s="17">
        <v>56</v>
      </c>
      <c r="C268" s="17">
        <v>85</v>
      </c>
      <c r="D268" s="17">
        <v>56</v>
      </c>
      <c r="E268" s="17">
        <v>85</v>
      </c>
      <c r="F268" s="17">
        <f t="shared" si="33"/>
        <v>30</v>
      </c>
      <c r="G268" s="17">
        <v>1.5</v>
      </c>
      <c r="H268" s="17"/>
    </row>
    <row r="269" spans="2:20" x14ac:dyDescent="0.25">
      <c r="B269" s="17">
        <v>86</v>
      </c>
      <c r="C269" s="17">
        <v>100</v>
      </c>
      <c r="D269" s="17">
        <v>86</v>
      </c>
      <c r="E269" s="17">
        <v>100</v>
      </c>
      <c r="F269" s="17">
        <f t="shared" si="33"/>
        <v>15</v>
      </c>
      <c r="G269" s="17">
        <v>2</v>
      </c>
      <c r="H269" s="17"/>
    </row>
    <row r="270" spans="2:20" x14ac:dyDescent="0.25">
      <c r="B270" s="17">
        <v>101</v>
      </c>
      <c r="C270" s="17">
        <v>110</v>
      </c>
      <c r="D270" s="17">
        <v>101</v>
      </c>
      <c r="E270" s="17">
        <v>110</v>
      </c>
      <c r="F270" s="17">
        <f t="shared" si="33"/>
        <v>10</v>
      </c>
      <c r="G270" s="17">
        <v>2</v>
      </c>
      <c r="H270" s="17"/>
    </row>
    <row r="271" spans="2:20" x14ac:dyDescent="0.25">
      <c r="B271" s="17">
        <v>111</v>
      </c>
      <c r="C271" s="17">
        <v>120</v>
      </c>
      <c r="D271" s="17">
        <v>111</v>
      </c>
      <c r="E271" s="17">
        <v>124</v>
      </c>
      <c r="F271" s="17">
        <f t="shared" si="33"/>
        <v>14</v>
      </c>
      <c r="G271" s="17">
        <v>2.5</v>
      </c>
      <c r="H271" s="17"/>
    </row>
    <row r="273" spans="2:8" x14ac:dyDescent="0.25">
      <c r="B273" s="386" t="s">
        <v>341</v>
      </c>
      <c r="C273" s="386"/>
      <c r="D273" s="386"/>
      <c r="E273" s="386"/>
      <c r="F273" s="386"/>
      <c r="G273" s="17"/>
      <c r="H273" s="17"/>
    </row>
    <row r="274" spans="2:8" x14ac:dyDescent="0.25">
      <c r="B274" s="386" t="s">
        <v>254</v>
      </c>
      <c r="C274" s="386"/>
      <c r="D274" s="386" t="s">
        <v>254</v>
      </c>
      <c r="E274" s="386"/>
      <c r="F274" s="192" t="s">
        <v>313</v>
      </c>
      <c r="G274" s="17" t="s">
        <v>314</v>
      </c>
      <c r="H274" s="17" t="s">
        <v>316</v>
      </c>
    </row>
    <row r="275" spans="2:8" x14ac:dyDescent="0.25">
      <c r="B275" s="17">
        <v>0</v>
      </c>
      <c r="C275" s="17">
        <v>10</v>
      </c>
      <c r="D275" s="17"/>
      <c r="E275" s="17"/>
      <c r="F275" s="17">
        <v>0</v>
      </c>
      <c r="G275" s="17">
        <v>1</v>
      </c>
      <c r="H275" s="17">
        <f>(F275*G275+F276*G276+F277*G277+F278*G278+F279*G279+F280*G280+F281*G281)/100</f>
        <v>1.79</v>
      </c>
    </row>
    <row r="276" spans="2:8" x14ac:dyDescent="0.25">
      <c r="B276" s="17">
        <v>11</v>
      </c>
      <c r="C276" s="17">
        <v>25</v>
      </c>
      <c r="D276" s="17">
        <v>25</v>
      </c>
      <c r="E276" s="17">
        <v>25</v>
      </c>
      <c r="F276" s="17">
        <f t="shared" ref="F276:F281" si="34">E276-D276+1</f>
        <v>1</v>
      </c>
      <c r="G276" s="17">
        <v>1.5</v>
      </c>
      <c r="H276" s="17"/>
    </row>
    <row r="277" spans="2:8" x14ac:dyDescent="0.25">
      <c r="B277" s="17">
        <v>26</v>
      </c>
      <c r="C277" s="17">
        <v>55</v>
      </c>
      <c r="D277" s="17">
        <v>26</v>
      </c>
      <c r="E277" s="17">
        <v>55</v>
      </c>
      <c r="F277" s="17">
        <f t="shared" si="34"/>
        <v>30</v>
      </c>
      <c r="G277" s="17">
        <v>1.5</v>
      </c>
      <c r="H277" s="17"/>
    </row>
    <row r="278" spans="2:8" x14ac:dyDescent="0.25">
      <c r="B278" s="17">
        <v>56</v>
      </c>
      <c r="C278" s="17">
        <v>85</v>
      </c>
      <c r="D278" s="17">
        <v>56</v>
      </c>
      <c r="E278" s="17">
        <v>85</v>
      </c>
      <c r="F278" s="17">
        <f t="shared" si="34"/>
        <v>30</v>
      </c>
      <c r="G278" s="17">
        <v>1.5</v>
      </c>
      <c r="H278" s="17"/>
    </row>
    <row r="279" spans="2:8" x14ac:dyDescent="0.25">
      <c r="B279" s="17">
        <v>86</v>
      </c>
      <c r="C279" s="17">
        <v>100</v>
      </c>
      <c r="D279" s="17">
        <v>86</v>
      </c>
      <c r="E279" s="17">
        <v>100</v>
      </c>
      <c r="F279" s="17">
        <f t="shared" si="34"/>
        <v>15</v>
      </c>
      <c r="G279" s="17">
        <v>2</v>
      </c>
      <c r="H279" s="17"/>
    </row>
    <row r="280" spans="2:8" x14ac:dyDescent="0.25">
      <c r="B280" s="17">
        <v>101</v>
      </c>
      <c r="C280" s="17">
        <v>110</v>
      </c>
      <c r="D280" s="17">
        <v>101</v>
      </c>
      <c r="E280" s="17">
        <v>110</v>
      </c>
      <c r="F280" s="17">
        <f t="shared" si="34"/>
        <v>10</v>
      </c>
      <c r="G280" s="17">
        <v>2</v>
      </c>
      <c r="H280" s="17"/>
    </row>
    <row r="281" spans="2:8" x14ac:dyDescent="0.25">
      <c r="B281" s="17">
        <v>111</v>
      </c>
      <c r="C281" s="17">
        <v>120</v>
      </c>
      <c r="D281" s="17">
        <v>111</v>
      </c>
      <c r="E281" s="17">
        <v>125</v>
      </c>
      <c r="F281" s="17">
        <f t="shared" si="34"/>
        <v>15</v>
      </c>
      <c r="G281" s="17">
        <v>2.5</v>
      </c>
      <c r="H281" s="17"/>
    </row>
    <row r="283" spans="2:8" x14ac:dyDescent="0.25">
      <c r="B283" s="386" t="s">
        <v>342</v>
      </c>
      <c r="C283" s="386"/>
      <c r="D283" s="386"/>
      <c r="E283" s="386"/>
      <c r="F283" s="386"/>
      <c r="G283" s="17"/>
      <c r="H283" s="17"/>
    </row>
    <row r="284" spans="2:8" x14ac:dyDescent="0.25">
      <c r="B284" s="386" t="s">
        <v>254</v>
      </c>
      <c r="C284" s="386"/>
      <c r="D284" s="386" t="s">
        <v>254</v>
      </c>
      <c r="E284" s="386"/>
      <c r="F284" s="192" t="s">
        <v>313</v>
      </c>
      <c r="G284" s="17" t="s">
        <v>314</v>
      </c>
      <c r="H284" s="17" t="s">
        <v>316</v>
      </c>
    </row>
    <row r="285" spans="2:8" x14ac:dyDescent="0.25">
      <c r="B285" s="17">
        <v>0</v>
      </c>
      <c r="C285" s="17">
        <v>10</v>
      </c>
      <c r="D285" s="17"/>
      <c r="E285" s="17"/>
      <c r="F285" s="17">
        <v>0</v>
      </c>
      <c r="G285" s="17">
        <v>1</v>
      </c>
      <c r="H285" s="17">
        <f>(F285*G285+F286*G286+F287*G287+F288*G288+F289*G289+F290*G290+F291*G291)/100</f>
        <v>1.8</v>
      </c>
    </row>
    <row r="286" spans="2:8" x14ac:dyDescent="0.25">
      <c r="B286" s="17">
        <v>11</v>
      </c>
      <c r="C286" s="17">
        <v>25</v>
      </c>
      <c r="D286" s="17"/>
      <c r="E286" s="17"/>
      <c r="F286" s="17">
        <v>0</v>
      </c>
      <c r="G286" s="17">
        <v>1.5</v>
      </c>
      <c r="H286" s="17"/>
    </row>
    <row r="287" spans="2:8" x14ac:dyDescent="0.25">
      <c r="B287" s="17">
        <v>26</v>
      </c>
      <c r="C287" s="17">
        <v>55</v>
      </c>
      <c r="D287" s="17">
        <v>26</v>
      </c>
      <c r="E287" s="17">
        <v>55</v>
      </c>
      <c r="F287" s="17">
        <f t="shared" ref="F287:F291" si="35">E287-D287+1</f>
        <v>30</v>
      </c>
      <c r="G287" s="17">
        <v>1.5</v>
      </c>
      <c r="H287" s="17"/>
    </row>
    <row r="288" spans="2:8" x14ac:dyDescent="0.25">
      <c r="B288" s="17">
        <v>56</v>
      </c>
      <c r="C288" s="17">
        <v>85</v>
      </c>
      <c r="D288" s="17">
        <v>56</v>
      </c>
      <c r="E288" s="17">
        <v>85</v>
      </c>
      <c r="F288" s="17">
        <f t="shared" si="35"/>
        <v>30</v>
      </c>
      <c r="G288" s="17">
        <v>1.5</v>
      </c>
      <c r="H288" s="17"/>
    </row>
    <row r="289" spans="2:8" x14ac:dyDescent="0.25">
      <c r="B289" s="17">
        <v>86</v>
      </c>
      <c r="C289" s="17">
        <v>100</v>
      </c>
      <c r="D289" s="17">
        <v>86</v>
      </c>
      <c r="E289" s="17">
        <v>100</v>
      </c>
      <c r="F289" s="17">
        <f t="shared" si="35"/>
        <v>15</v>
      </c>
      <c r="G289" s="17">
        <v>2</v>
      </c>
      <c r="H289" s="17"/>
    </row>
    <row r="290" spans="2:8" x14ac:dyDescent="0.25">
      <c r="B290" s="17">
        <v>101</v>
      </c>
      <c r="C290" s="17">
        <v>110</v>
      </c>
      <c r="D290" s="17">
        <v>101</v>
      </c>
      <c r="E290" s="17">
        <v>110</v>
      </c>
      <c r="F290" s="17">
        <f t="shared" si="35"/>
        <v>10</v>
      </c>
      <c r="G290" s="17">
        <v>2</v>
      </c>
      <c r="H290" s="17"/>
    </row>
    <row r="291" spans="2:8" x14ac:dyDescent="0.25">
      <c r="B291" s="17">
        <v>111</v>
      </c>
      <c r="C291" s="17">
        <v>120</v>
      </c>
      <c r="D291" s="17">
        <v>111</v>
      </c>
      <c r="E291" s="17">
        <v>126</v>
      </c>
      <c r="F291" s="17">
        <f t="shared" si="35"/>
        <v>16</v>
      </c>
      <c r="G291" s="17">
        <v>2.5</v>
      </c>
      <c r="H291" s="17"/>
    </row>
    <row r="293" spans="2:8" x14ac:dyDescent="0.25">
      <c r="B293" s="386" t="s">
        <v>343</v>
      </c>
      <c r="C293" s="386"/>
      <c r="D293" s="386"/>
      <c r="E293" s="386"/>
      <c r="F293" s="386"/>
      <c r="G293" s="17"/>
      <c r="H293" s="17"/>
    </row>
    <row r="294" spans="2:8" x14ac:dyDescent="0.25">
      <c r="B294" s="386" t="s">
        <v>254</v>
      </c>
      <c r="C294" s="386"/>
      <c r="D294" s="386" t="s">
        <v>254</v>
      </c>
      <c r="E294" s="386"/>
      <c r="F294" s="192" t="s">
        <v>313</v>
      </c>
      <c r="G294" s="17" t="s">
        <v>314</v>
      </c>
      <c r="H294" s="17" t="s">
        <v>316</v>
      </c>
    </row>
    <row r="295" spans="2:8" x14ac:dyDescent="0.25">
      <c r="B295" s="17">
        <v>0</v>
      </c>
      <c r="C295" s="17">
        <v>10</v>
      </c>
      <c r="D295" s="17"/>
      <c r="E295" s="17"/>
      <c r="F295" s="17">
        <v>0</v>
      </c>
      <c r="G295" s="17">
        <v>1</v>
      </c>
      <c r="H295" s="17">
        <f>(F295*G295+F296*G296+F297*G297+F298*G298+F299*G299+F300*G300+F301*G301)/100</f>
        <v>1.81</v>
      </c>
    </row>
    <row r="296" spans="2:8" x14ac:dyDescent="0.25">
      <c r="B296" s="17">
        <v>11</v>
      </c>
      <c r="C296" s="17">
        <v>25</v>
      </c>
      <c r="D296" s="17"/>
      <c r="E296" s="17"/>
      <c r="F296" s="17">
        <v>0</v>
      </c>
      <c r="G296" s="17">
        <v>1.5</v>
      </c>
      <c r="H296" s="17"/>
    </row>
    <row r="297" spans="2:8" x14ac:dyDescent="0.25">
      <c r="B297" s="17">
        <v>26</v>
      </c>
      <c r="C297" s="17">
        <v>55</v>
      </c>
      <c r="D297" s="17">
        <v>27</v>
      </c>
      <c r="E297" s="17">
        <v>55</v>
      </c>
      <c r="F297" s="17">
        <f t="shared" ref="F297:F301" si="36">E297-D297+1</f>
        <v>29</v>
      </c>
      <c r="G297" s="17">
        <v>1.5</v>
      </c>
      <c r="H297" s="17"/>
    </row>
    <row r="298" spans="2:8" x14ac:dyDescent="0.25">
      <c r="B298" s="17">
        <v>56</v>
      </c>
      <c r="C298" s="17">
        <v>85</v>
      </c>
      <c r="D298" s="17">
        <v>56</v>
      </c>
      <c r="E298" s="17">
        <v>85</v>
      </c>
      <c r="F298" s="17">
        <f t="shared" si="36"/>
        <v>30</v>
      </c>
      <c r="G298" s="17">
        <v>1.5</v>
      </c>
      <c r="H298" s="17"/>
    </row>
    <row r="299" spans="2:8" x14ac:dyDescent="0.25">
      <c r="B299" s="17">
        <v>86</v>
      </c>
      <c r="C299" s="17">
        <v>100</v>
      </c>
      <c r="D299" s="17">
        <v>86</v>
      </c>
      <c r="E299" s="17">
        <v>100</v>
      </c>
      <c r="F299" s="17">
        <f t="shared" si="36"/>
        <v>15</v>
      </c>
      <c r="G299" s="17">
        <v>2</v>
      </c>
      <c r="H299" s="17"/>
    </row>
    <row r="300" spans="2:8" x14ac:dyDescent="0.25">
      <c r="B300" s="17">
        <v>101</v>
      </c>
      <c r="C300" s="17">
        <v>110</v>
      </c>
      <c r="D300" s="17">
        <v>101</v>
      </c>
      <c r="E300" s="17">
        <v>110</v>
      </c>
      <c r="F300" s="17">
        <f t="shared" si="36"/>
        <v>10</v>
      </c>
      <c r="G300" s="17">
        <v>2</v>
      </c>
      <c r="H300" s="17"/>
    </row>
    <row r="301" spans="2:8" x14ac:dyDescent="0.25">
      <c r="B301" s="17">
        <v>111</v>
      </c>
      <c r="C301" s="17">
        <v>120</v>
      </c>
      <c r="D301" s="17">
        <v>111</v>
      </c>
      <c r="E301" s="17">
        <v>127</v>
      </c>
      <c r="F301" s="17">
        <f t="shared" si="36"/>
        <v>17</v>
      </c>
      <c r="G301" s="17">
        <v>2.5</v>
      </c>
      <c r="H301" s="17"/>
    </row>
    <row r="303" spans="2:8" x14ac:dyDescent="0.25">
      <c r="B303" s="386" t="s">
        <v>344</v>
      </c>
      <c r="C303" s="386"/>
      <c r="D303" s="386"/>
      <c r="E303" s="386"/>
      <c r="F303" s="386"/>
      <c r="G303" s="17"/>
      <c r="H303" s="17"/>
    </row>
    <row r="304" spans="2:8" x14ac:dyDescent="0.25">
      <c r="B304" s="386" t="s">
        <v>254</v>
      </c>
      <c r="C304" s="386"/>
      <c r="D304" s="386" t="s">
        <v>254</v>
      </c>
      <c r="E304" s="386"/>
      <c r="F304" s="192" t="s">
        <v>313</v>
      </c>
      <c r="G304" s="17" t="s">
        <v>314</v>
      </c>
      <c r="H304" s="17" t="s">
        <v>316</v>
      </c>
    </row>
    <row r="305" spans="2:8" x14ac:dyDescent="0.25">
      <c r="B305" s="17">
        <v>0</v>
      </c>
      <c r="C305" s="17">
        <v>10</v>
      </c>
      <c r="D305" s="17"/>
      <c r="E305" s="17"/>
      <c r="F305" s="17">
        <v>0</v>
      </c>
      <c r="G305" s="17">
        <v>1</v>
      </c>
      <c r="H305" s="17">
        <f>(F305*G305+F306*G306+F307*G307+F308*G308+F309*G309+F310*G310+F311*G311)/100</f>
        <v>1.82</v>
      </c>
    </row>
    <row r="306" spans="2:8" x14ac:dyDescent="0.25">
      <c r="B306" s="17">
        <v>11</v>
      </c>
      <c r="C306" s="17">
        <v>25</v>
      </c>
      <c r="D306" s="17"/>
      <c r="E306" s="17"/>
      <c r="F306" s="17">
        <v>0</v>
      </c>
      <c r="G306" s="17">
        <v>1.5</v>
      </c>
      <c r="H306" s="17"/>
    </row>
    <row r="307" spans="2:8" x14ac:dyDescent="0.25">
      <c r="B307" s="17">
        <v>26</v>
      </c>
      <c r="C307" s="17">
        <v>55</v>
      </c>
      <c r="D307" s="17">
        <v>28</v>
      </c>
      <c r="E307" s="17">
        <v>55</v>
      </c>
      <c r="F307" s="17">
        <f t="shared" ref="F307:F311" si="37">E307-D307+1</f>
        <v>28</v>
      </c>
      <c r="G307" s="17">
        <v>1.5</v>
      </c>
      <c r="H307" s="17"/>
    </row>
    <row r="308" spans="2:8" x14ac:dyDescent="0.25">
      <c r="B308" s="17">
        <v>56</v>
      </c>
      <c r="C308" s="17">
        <v>85</v>
      </c>
      <c r="D308" s="17">
        <v>56</v>
      </c>
      <c r="E308" s="17">
        <v>85</v>
      </c>
      <c r="F308" s="17">
        <f t="shared" si="37"/>
        <v>30</v>
      </c>
      <c r="G308" s="17">
        <v>1.5</v>
      </c>
      <c r="H308" s="17"/>
    </row>
    <row r="309" spans="2:8" x14ac:dyDescent="0.25">
      <c r="B309" s="17">
        <v>86</v>
      </c>
      <c r="C309" s="17">
        <v>100</v>
      </c>
      <c r="D309" s="17">
        <v>86</v>
      </c>
      <c r="E309" s="17">
        <v>100</v>
      </c>
      <c r="F309" s="17">
        <f t="shared" si="37"/>
        <v>15</v>
      </c>
      <c r="G309" s="17">
        <v>2</v>
      </c>
      <c r="H309" s="17"/>
    </row>
    <row r="310" spans="2:8" x14ac:dyDescent="0.25">
      <c r="B310" s="17">
        <v>101</v>
      </c>
      <c r="C310" s="17">
        <v>110</v>
      </c>
      <c r="D310" s="17">
        <v>101</v>
      </c>
      <c r="E310" s="17">
        <v>110</v>
      </c>
      <c r="F310" s="17">
        <f t="shared" si="37"/>
        <v>10</v>
      </c>
      <c r="G310" s="17">
        <v>2</v>
      </c>
      <c r="H310" s="17"/>
    </row>
    <row r="311" spans="2:8" x14ac:dyDescent="0.25">
      <c r="B311" s="17">
        <v>111</v>
      </c>
      <c r="C311" s="17">
        <v>120</v>
      </c>
      <c r="D311" s="17">
        <v>111</v>
      </c>
      <c r="E311" s="17">
        <v>128</v>
      </c>
      <c r="F311" s="17">
        <f t="shared" si="37"/>
        <v>18</v>
      </c>
      <c r="G311" s="17">
        <v>2.5</v>
      </c>
      <c r="H311" s="17"/>
    </row>
    <row r="313" spans="2:8" x14ac:dyDescent="0.25">
      <c r="B313" s="386" t="s">
        <v>345</v>
      </c>
      <c r="C313" s="386"/>
      <c r="D313" s="386"/>
      <c r="E313" s="386"/>
      <c r="F313" s="386"/>
      <c r="G313" s="17"/>
      <c r="H313" s="17"/>
    </row>
    <row r="314" spans="2:8" x14ac:dyDescent="0.25">
      <c r="B314" s="386" t="s">
        <v>254</v>
      </c>
      <c r="C314" s="386"/>
      <c r="D314" s="386" t="s">
        <v>254</v>
      </c>
      <c r="E314" s="386"/>
      <c r="F314" s="192" t="s">
        <v>313</v>
      </c>
      <c r="G314" s="17" t="s">
        <v>314</v>
      </c>
      <c r="H314" s="17" t="s">
        <v>316</v>
      </c>
    </row>
    <row r="315" spans="2:8" x14ac:dyDescent="0.25">
      <c r="B315" s="17">
        <v>0</v>
      </c>
      <c r="C315" s="17">
        <v>10</v>
      </c>
      <c r="D315" s="17"/>
      <c r="E315" s="17"/>
      <c r="F315" s="17">
        <v>0</v>
      </c>
      <c r="G315" s="17">
        <v>1</v>
      </c>
      <c r="H315" s="17">
        <f>(F315*G315+F316*G316+F317*G317+F318*G318+F319*G319+F320*G320+F321*G321)/100</f>
        <v>1.83</v>
      </c>
    </row>
    <row r="316" spans="2:8" x14ac:dyDescent="0.25">
      <c r="B316" s="17">
        <v>11</v>
      </c>
      <c r="C316" s="17">
        <v>25</v>
      </c>
      <c r="D316" s="17"/>
      <c r="E316" s="17"/>
      <c r="F316" s="17">
        <v>0</v>
      </c>
      <c r="G316" s="17">
        <v>1.5</v>
      </c>
      <c r="H316" s="17"/>
    </row>
    <row r="317" spans="2:8" x14ac:dyDescent="0.25">
      <c r="B317" s="17">
        <v>26</v>
      </c>
      <c r="C317" s="17">
        <v>55</v>
      </c>
      <c r="D317" s="17">
        <v>29</v>
      </c>
      <c r="E317" s="17">
        <v>55</v>
      </c>
      <c r="F317" s="17">
        <f t="shared" ref="F317:F321" si="38">E317-D317+1</f>
        <v>27</v>
      </c>
      <c r="G317" s="17">
        <v>1.5</v>
      </c>
      <c r="H317" s="17"/>
    </row>
    <row r="318" spans="2:8" x14ac:dyDescent="0.25">
      <c r="B318" s="17">
        <v>56</v>
      </c>
      <c r="C318" s="17">
        <v>85</v>
      </c>
      <c r="D318" s="17">
        <v>56</v>
      </c>
      <c r="E318" s="17">
        <v>85</v>
      </c>
      <c r="F318" s="17">
        <f t="shared" si="38"/>
        <v>30</v>
      </c>
      <c r="G318" s="17">
        <v>1.5</v>
      </c>
      <c r="H318" s="17"/>
    </row>
    <row r="319" spans="2:8" x14ac:dyDescent="0.25">
      <c r="B319" s="17">
        <v>86</v>
      </c>
      <c r="C319" s="17">
        <v>100</v>
      </c>
      <c r="D319" s="17">
        <v>86</v>
      </c>
      <c r="E319" s="17">
        <v>100</v>
      </c>
      <c r="F319" s="17">
        <f t="shared" si="38"/>
        <v>15</v>
      </c>
      <c r="G319" s="17">
        <v>2</v>
      </c>
      <c r="H319" s="17"/>
    </row>
    <row r="320" spans="2:8" x14ac:dyDescent="0.25">
      <c r="B320" s="17">
        <v>101</v>
      </c>
      <c r="C320" s="17">
        <v>110</v>
      </c>
      <c r="D320" s="17">
        <v>101</v>
      </c>
      <c r="E320" s="17">
        <v>110</v>
      </c>
      <c r="F320" s="17">
        <f t="shared" si="38"/>
        <v>10</v>
      </c>
      <c r="G320" s="17">
        <v>2</v>
      </c>
      <c r="H320" s="17"/>
    </row>
    <row r="321" spans="2:8" x14ac:dyDescent="0.25">
      <c r="B321" s="17">
        <v>111</v>
      </c>
      <c r="C321" s="17">
        <v>120</v>
      </c>
      <c r="D321" s="17">
        <v>111</v>
      </c>
      <c r="E321" s="17">
        <v>129</v>
      </c>
      <c r="F321" s="17">
        <f t="shared" si="38"/>
        <v>19</v>
      </c>
      <c r="G321" s="17">
        <v>2.5</v>
      </c>
      <c r="H321" s="17"/>
    </row>
    <row r="323" spans="2:8" x14ac:dyDescent="0.25">
      <c r="B323" s="386" t="s">
        <v>346</v>
      </c>
      <c r="C323" s="386"/>
      <c r="D323" s="386"/>
      <c r="E323" s="386"/>
      <c r="F323" s="386"/>
      <c r="G323" s="17"/>
      <c r="H323" s="17"/>
    </row>
    <row r="324" spans="2:8" x14ac:dyDescent="0.25">
      <c r="B324" s="386" t="s">
        <v>254</v>
      </c>
      <c r="C324" s="386"/>
      <c r="D324" s="386" t="s">
        <v>254</v>
      </c>
      <c r="E324" s="386"/>
      <c r="F324" s="192" t="s">
        <v>313</v>
      </c>
      <c r="G324" s="17" t="s">
        <v>314</v>
      </c>
      <c r="H324" s="17" t="s">
        <v>316</v>
      </c>
    </row>
    <row r="325" spans="2:8" x14ac:dyDescent="0.25">
      <c r="B325" s="17">
        <v>0</v>
      </c>
      <c r="C325" s="17">
        <v>10</v>
      </c>
      <c r="D325" s="17"/>
      <c r="E325" s="17"/>
      <c r="F325" s="17">
        <v>0</v>
      </c>
      <c r="G325" s="17">
        <v>1</v>
      </c>
      <c r="H325" s="17">
        <f>(F325*G325+F326*G326+F327*G327+F328*G328+F329*G329+F330*G330+F331*G331)/100</f>
        <v>1.84</v>
      </c>
    </row>
    <row r="326" spans="2:8" x14ac:dyDescent="0.25">
      <c r="B326" s="17">
        <v>11</v>
      </c>
      <c r="C326" s="17">
        <v>25</v>
      </c>
      <c r="D326" s="17"/>
      <c r="E326" s="17"/>
      <c r="F326" s="17">
        <v>0</v>
      </c>
      <c r="G326" s="17">
        <v>1.5</v>
      </c>
      <c r="H326" s="17"/>
    </row>
    <row r="327" spans="2:8" x14ac:dyDescent="0.25">
      <c r="B327" s="17">
        <v>26</v>
      </c>
      <c r="C327" s="17">
        <v>55</v>
      </c>
      <c r="D327" s="17">
        <v>30</v>
      </c>
      <c r="E327" s="17">
        <v>55</v>
      </c>
      <c r="F327" s="17">
        <f t="shared" ref="F327:F331" si="39">E327-D327+1</f>
        <v>26</v>
      </c>
      <c r="G327" s="17">
        <v>1.5</v>
      </c>
      <c r="H327" s="17"/>
    </row>
    <row r="328" spans="2:8" x14ac:dyDescent="0.25">
      <c r="B328" s="17">
        <v>56</v>
      </c>
      <c r="C328" s="17">
        <v>85</v>
      </c>
      <c r="D328" s="17">
        <v>56</v>
      </c>
      <c r="E328" s="17">
        <v>85</v>
      </c>
      <c r="F328" s="17">
        <f t="shared" si="39"/>
        <v>30</v>
      </c>
      <c r="G328" s="17">
        <v>1.5</v>
      </c>
      <c r="H328" s="17"/>
    </row>
    <row r="329" spans="2:8" x14ac:dyDescent="0.25">
      <c r="B329" s="17">
        <v>86</v>
      </c>
      <c r="C329" s="17">
        <v>100</v>
      </c>
      <c r="D329" s="17">
        <v>86</v>
      </c>
      <c r="E329" s="17">
        <v>100</v>
      </c>
      <c r="F329" s="17">
        <f t="shared" si="39"/>
        <v>15</v>
      </c>
      <c r="G329" s="17">
        <v>2</v>
      </c>
      <c r="H329" s="17"/>
    </row>
    <row r="330" spans="2:8" x14ac:dyDescent="0.25">
      <c r="B330" s="17">
        <v>101</v>
      </c>
      <c r="C330" s="17">
        <v>110</v>
      </c>
      <c r="D330" s="17">
        <v>101</v>
      </c>
      <c r="E330" s="17">
        <v>110</v>
      </c>
      <c r="F330" s="17">
        <f t="shared" si="39"/>
        <v>10</v>
      </c>
      <c r="G330" s="17">
        <v>2</v>
      </c>
      <c r="H330" s="17"/>
    </row>
    <row r="331" spans="2:8" x14ac:dyDescent="0.25">
      <c r="B331" s="17">
        <v>111</v>
      </c>
      <c r="C331" s="17">
        <v>120</v>
      </c>
      <c r="D331" s="17">
        <v>111</v>
      </c>
      <c r="E331" s="17">
        <v>130</v>
      </c>
      <c r="F331" s="17">
        <f t="shared" si="39"/>
        <v>20</v>
      </c>
      <c r="G331" s="17">
        <v>2.5</v>
      </c>
      <c r="H331" s="17"/>
    </row>
    <row r="333" spans="2:8" x14ac:dyDescent="0.25">
      <c r="B333" s="386" t="s">
        <v>347</v>
      </c>
      <c r="C333" s="386"/>
      <c r="D333" s="386"/>
      <c r="E333" s="386"/>
      <c r="F333" s="386"/>
      <c r="G333" s="17"/>
      <c r="H333" s="17"/>
    </row>
    <row r="334" spans="2:8" x14ac:dyDescent="0.25">
      <c r="B334" s="386" t="s">
        <v>254</v>
      </c>
      <c r="C334" s="386"/>
      <c r="D334" s="386" t="s">
        <v>254</v>
      </c>
      <c r="E334" s="386"/>
      <c r="F334" s="192" t="s">
        <v>313</v>
      </c>
      <c r="G334" s="17" t="s">
        <v>314</v>
      </c>
      <c r="H334" s="17" t="s">
        <v>316</v>
      </c>
    </row>
    <row r="335" spans="2:8" x14ac:dyDescent="0.25">
      <c r="B335" s="17">
        <v>0</v>
      </c>
      <c r="C335" s="17">
        <v>10</v>
      </c>
      <c r="D335" s="17"/>
      <c r="E335" s="17"/>
      <c r="F335" s="17">
        <v>0</v>
      </c>
      <c r="G335" s="17">
        <v>1</v>
      </c>
      <c r="H335" s="17">
        <f>(F335*G335+F336*G336+F337*G337+F338*G338+F339*G339+F340*G340+F341*G341)/100</f>
        <v>1.85</v>
      </c>
    </row>
    <row r="336" spans="2:8" x14ac:dyDescent="0.25">
      <c r="B336" s="17">
        <v>11</v>
      </c>
      <c r="C336" s="17">
        <v>25</v>
      </c>
      <c r="D336" s="17"/>
      <c r="E336" s="17"/>
      <c r="F336" s="17">
        <v>0</v>
      </c>
      <c r="G336" s="17">
        <v>1.5</v>
      </c>
      <c r="H336" s="17"/>
    </row>
    <row r="337" spans="2:22" x14ac:dyDescent="0.25">
      <c r="B337" s="17">
        <v>26</v>
      </c>
      <c r="C337" s="17">
        <v>55</v>
      </c>
      <c r="D337" s="17">
        <v>31</v>
      </c>
      <c r="E337" s="17">
        <v>55</v>
      </c>
      <c r="F337" s="17">
        <f t="shared" ref="F337:F341" si="40">E337-D337+1</f>
        <v>25</v>
      </c>
      <c r="G337" s="17">
        <v>1.5</v>
      </c>
      <c r="H337" s="17"/>
    </row>
    <row r="338" spans="2:22" x14ac:dyDescent="0.25">
      <c r="B338" s="17">
        <v>56</v>
      </c>
      <c r="C338" s="17">
        <v>85</v>
      </c>
      <c r="D338" s="17">
        <v>56</v>
      </c>
      <c r="E338" s="17">
        <v>85</v>
      </c>
      <c r="F338" s="17">
        <f t="shared" si="40"/>
        <v>30</v>
      </c>
      <c r="G338" s="17">
        <v>1.5</v>
      </c>
      <c r="H338" s="17"/>
    </row>
    <row r="339" spans="2:22" x14ac:dyDescent="0.25">
      <c r="B339" s="17">
        <v>86</v>
      </c>
      <c r="C339" s="17">
        <v>100</v>
      </c>
      <c r="D339" s="17">
        <v>86</v>
      </c>
      <c r="E339" s="17">
        <v>100</v>
      </c>
      <c r="F339" s="17">
        <f t="shared" si="40"/>
        <v>15</v>
      </c>
      <c r="G339" s="17">
        <v>2</v>
      </c>
      <c r="H339" s="17"/>
    </row>
    <row r="340" spans="2:22" x14ac:dyDescent="0.25">
      <c r="B340" s="17">
        <v>101</v>
      </c>
      <c r="C340" s="17">
        <v>110</v>
      </c>
      <c r="D340" s="17">
        <v>101</v>
      </c>
      <c r="E340" s="17">
        <v>110</v>
      </c>
      <c r="F340" s="17">
        <f t="shared" si="40"/>
        <v>10</v>
      </c>
      <c r="G340" s="17">
        <v>2</v>
      </c>
      <c r="H340" s="17"/>
    </row>
    <row r="341" spans="2:22" x14ac:dyDescent="0.25">
      <c r="B341" s="17">
        <v>111</v>
      </c>
      <c r="C341" s="17">
        <v>120</v>
      </c>
      <c r="D341" s="17">
        <v>111</v>
      </c>
      <c r="E341" s="17">
        <v>131</v>
      </c>
      <c r="F341" s="17">
        <f t="shared" si="40"/>
        <v>21</v>
      </c>
      <c r="G341" s="17">
        <v>2.5</v>
      </c>
      <c r="H341" s="17"/>
    </row>
    <row r="350" spans="2:22" ht="15.75" thickBot="1" x14ac:dyDescent="0.3">
      <c r="B350" s="218" t="s">
        <v>387</v>
      </c>
      <c r="C350" s="218"/>
      <c r="D350" s="218"/>
      <c r="E350" s="218"/>
      <c r="F350" s="218"/>
      <c r="G350" s="218"/>
      <c r="H350" s="218"/>
    </row>
    <row r="351" spans="2:22" ht="15.75" thickBot="1" x14ac:dyDescent="0.3">
      <c r="B351" s="386" t="s">
        <v>317</v>
      </c>
      <c r="C351" s="386"/>
      <c r="D351" s="386"/>
      <c r="E351" s="386"/>
      <c r="F351" s="386"/>
      <c r="G351" s="221"/>
      <c r="H351" s="221"/>
      <c r="K351" s="389" t="s">
        <v>277</v>
      </c>
      <c r="L351" s="369"/>
      <c r="M351" s="369"/>
      <c r="N351" s="369"/>
      <c r="O351" s="369"/>
      <c r="P351" s="369"/>
      <c r="Q351" s="368"/>
      <c r="R351" s="388" t="s">
        <v>388</v>
      </c>
      <c r="S351" s="377"/>
      <c r="T351" s="377"/>
      <c r="U351" s="377"/>
      <c r="V351" s="377"/>
    </row>
    <row r="352" spans="2:22" ht="15.75" thickBot="1" x14ac:dyDescent="0.3">
      <c r="B352" s="386" t="s">
        <v>254</v>
      </c>
      <c r="C352" s="386"/>
      <c r="D352" s="386" t="s">
        <v>254</v>
      </c>
      <c r="E352" s="386"/>
      <c r="F352" s="192" t="s">
        <v>313</v>
      </c>
      <c r="G352" s="221" t="s">
        <v>314</v>
      </c>
      <c r="H352" s="221" t="s">
        <v>316</v>
      </c>
      <c r="K352" s="164"/>
      <c r="L352" s="171" t="s">
        <v>264</v>
      </c>
      <c r="M352" s="172" t="s">
        <v>265</v>
      </c>
      <c r="N352" s="172" t="s">
        <v>266</v>
      </c>
      <c r="O352" s="172" t="s">
        <v>267</v>
      </c>
      <c r="P352" s="172" t="s">
        <v>268</v>
      </c>
      <c r="Q352" s="173" t="s">
        <v>269</v>
      </c>
      <c r="R352" s="388" t="s">
        <v>254</v>
      </c>
      <c r="S352" s="385"/>
      <c r="T352" s="190" t="s">
        <v>313</v>
      </c>
      <c r="U352" s="218" t="s">
        <v>314</v>
      </c>
      <c r="V352" s="218" t="s">
        <v>316</v>
      </c>
    </row>
    <row r="353" spans="2:22" x14ac:dyDescent="0.25">
      <c r="B353" s="221">
        <v>0</v>
      </c>
      <c r="C353" s="221">
        <v>10</v>
      </c>
      <c r="D353" s="221">
        <v>1</v>
      </c>
      <c r="E353" s="221">
        <v>10</v>
      </c>
      <c r="F353" s="221">
        <f>E353-D353+1</f>
        <v>10</v>
      </c>
      <c r="G353" s="221">
        <v>2</v>
      </c>
      <c r="H353" s="221">
        <f>(F353*G353+F354*G354+F355*G355+F356*G356+F357*G357+F358*G358)/100</f>
        <v>2.94</v>
      </c>
      <c r="K353" s="136" t="s">
        <v>270</v>
      </c>
      <c r="L353" s="161">
        <v>2</v>
      </c>
      <c r="M353" s="162">
        <v>1.5</v>
      </c>
      <c r="N353" s="162">
        <v>1</v>
      </c>
      <c r="O353" s="162">
        <v>2</v>
      </c>
      <c r="P353" s="162">
        <v>1.5</v>
      </c>
      <c r="Q353" s="163">
        <v>1.5</v>
      </c>
      <c r="R353" s="218">
        <v>0</v>
      </c>
      <c r="S353" s="218">
        <v>10</v>
      </c>
      <c r="T353" s="218">
        <f>S353-R353+1</f>
        <v>11</v>
      </c>
      <c r="U353" s="218">
        <f>L353</f>
        <v>2</v>
      </c>
      <c r="V353" s="218">
        <f>(U353*T353+U354*T354+U355*T355+U356*T356+U357*T357)/100</f>
        <v>2.92</v>
      </c>
    </row>
    <row r="354" spans="2:22" x14ac:dyDescent="0.25">
      <c r="B354" s="221">
        <v>11</v>
      </c>
      <c r="C354" s="221">
        <v>25</v>
      </c>
      <c r="D354" s="221">
        <v>11</v>
      </c>
      <c r="E354" s="221">
        <v>25</v>
      </c>
      <c r="F354" s="221">
        <f t="shared" ref="F354:F358" si="41">E354-D354+1</f>
        <v>15</v>
      </c>
      <c r="G354" s="221">
        <v>2.5</v>
      </c>
      <c r="H354" s="221"/>
      <c r="K354" s="157" t="s">
        <v>271</v>
      </c>
      <c r="L354" s="158">
        <v>2.5</v>
      </c>
      <c r="M354" s="159">
        <v>2</v>
      </c>
      <c r="N354" s="159">
        <v>1.5</v>
      </c>
      <c r="O354" s="159">
        <v>2.5</v>
      </c>
      <c r="P354" s="159">
        <v>2</v>
      </c>
      <c r="Q354" s="160">
        <v>2</v>
      </c>
      <c r="R354" s="218">
        <v>11</v>
      </c>
      <c r="S354" s="218">
        <v>25</v>
      </c>
      <c r="T354" s="218">
        <f t="shared" ref="T354:T357" si="42">S354-R354+1</f>
        <v>15</v>
      </c>
      <c r="U354" s="218">
        <f t="shared" ref="U354:U359" si="43">L354</f>
        <v>2.5</v>
      </c>
      <c r="V354" s="218"/>
    </row>
    <row r="355" spans="2:22" x14ac:dyDescent="0.25">
      <c r="B355" s="221">
        <v>26</v>
      </c>
      <c r="C355" s="221">
        <v>55</v>
      </c>
      <c r="D355" s="221">
        <v>26</v>
      </c>
      <c r="E355" s="221">
        <v>55</v>
      </c>
      <c r="F355" s="221">
        <f t="shared" si="41"/>
        <v>30</v>
      </c>
      <c r="G355" s="221">
        <v>3</v>
      </c>
      <c r="H355" s="221"/>
      <c r="K355" s="138" t="s">
        <v>272</v>
      </c>
      <c r="L355" s="150">
        <v>3</v>
      </c>
      <c r="M355" s="151">
        <v>2.5</v>
      </c>
      <c r="N355" s="151">
        <v>1.5</v>
      </c>
      <c r="O355" s="151">
        <v>3</v>
      </c>
      <c r="P355" s="151">
        <v>2.5</v>
      </c>
      <c r="Q355" s="152">
        <v>2.5</v>
      </c>
      <c r="R355" s="218">
        <v>26</v>
      </c>
      <c r="S355" s="218">
        <v>55</v>
      </c>
      <c r="T355" s="218">
        <f t="shared" si="42"/>
        <v>30</v>
      </c>
      <c r="U355" s="218">
        <f t="shared" si="43"/>
        <v>3</v>
      </c>
      <c r="V355" s="218"/>
    </row>
    <row r="356" spans="2:22" x14ac:dyDescent="0.25">
      <c r="B356" s="221">
        <v>56</v>
      </c>
      <c r="C356" s="221">
        <v>85</v>
      </c>
      <c r="D356" s="221">
        <v>56</v>
      </c>
      <c r="E356" s="221">
        <v>85</v>
      </c>
      <c r="F356" s="221">
        <f t="shared" si="41"/>
        <v>30</v>
      </c>
      <c r="G356" s="221">
        <v>3</v>
      </c>
      <c r="H356" s="221"/>
      <c r="K356" s="137" t="s">
        <v>273</v>
      </c>
      <c r="L356" s="147">
        <v>3</v>
      </c>
      <c r="M356" s="148">
        <v>3</v>
      </c>
      <c r="N356" s="148">
        <v>1.5</v>
      </c>
      <c r="O356" s="148">
        <v>3</v>
      </c>
      <c r="P356" s="148">
        <v>3</v>
      </c>
      <c r="Q356" s="149">
        <v>3</v>
      </c>
      <c r="R356" s="218">
        <v>56</v>
      </c>
      <c r="S356" s="218">
        <v>85</v>
      </c>
      <c r="T356" s="218">
        <f t="shared" si="42"/>
        <v>30</v>
      </c>
      <c r="U356" s="218">
        <f t="shared" si="43"/>
        <v>3</v>
      </c>
      <c r="V356" s="218"/>
    </row>
    <row r="357" spans="2:22" x14ac:dyDescent="0.25">
      <c r="B357" s="221">
        <v>86</v>
      </c>
      <c r="C357" s="221">
        <v>100</v>
      </c>
      <c r="D357" s="221">
        <v>86</v>
      </c>
      <c r="E357" s="221">
        <v>100</v>
      </c>
      <c r="F357" s="221">
        <f t="shared" si="41"/>
        <v>15</v>
      </c>
      <c r="G357" s="221">
        <v>3.5</v>
      </c>
      <c r="H357" s="221"/>
      <c r="K357" s="153" t="s">
        <v>274</v>
      </c>
      <c r="L357" s="154">
        <v>3.5</v>
      </c>
      <c r="M357" s="155">
        <v>3.5</v>
      </c>
      <c r="N357" s="155">
        <v>2</v>
      </c>
      <c r="O357" s="155">
        <v>3.5</v>
      </c>
      <c r="P357" s="155">
        <v>3</v>
      </c>
      <c r="Q357" s="156">
        <v>3</v>
      </c>
      <c r="R357" s="218">
        <v>86</v>
      </c>
      <c r="S357" s="218">
        <v>100</v>
      </c>
      <c r="T357" s="218">
        <f t="shared" si="42"/>
        <v>15</v>
      </c>
      <c r="U357" s="218">
        <f t="shared" si="43"/>
        <v>3.5</v>
      </c>
      <c r="V357" s="218"/>
    </row>
    <row r="358" spans="2:22" x14ac:dyDescent="0.25">
      <c r="B358" s="221">
        <v>101</v>
      </c>
      <c r="C358" s="221">
        <v>110</v>
      </c>
      <c r="D358" s="221">
        <v>101</v>
      </c>
      <c r="E358" s="221">
        <v>101</v>
      </c>
      <c r="F358" s="221">
        <f t="shared" si="41"/>
        <v>1</v>
      </c>
      <c r="G358" s="221">
        <v>4</v>
      </c>
      <c r="H358" s="221"/>
      <c r="K358" s="143" t="s">
        <v>275</v>
      </c>
      <c r="L358" s="144">
        <v>4</v>
      </c>
      <c r="M358" s="219">
        <v>3.5</v>
      </c>
      <c r="N358" s="219">
        <v>2</v>
      </c>
      <c r="O358" s="219">
        <v>3.5</v>
      </c>
      <c r="P358" s="219">
        <v>3</v>
      </c>
      <c r="Q358" s="146">
        <v>3</v>
      </c>
      <c r="R358" s="218">
        <v>101</v>
      </c>
      <c r="S358" s="218">
        <v>110</v>
      </c>
      <c r="T358" s="218"/>
      <c r="U358" s="218">
        <f t="shared" si="43"/>
        <v>4</v>
      </c>
      <c r="V358" s="218"/>
    </row>
    <row r="359" spans="2:22" ht="15.75" thickBot="1" x14ac:dyDescent="0.3">
      <c r="B359" s="221">
        <v>111</v>
      </c>
      <c r="C359" s="221">
        <v>120</v>
      </c>
      <c r="D359" s="221"/>
      <c r="E359" s="221"/>
      <c r="F359" s="221"/>
      <c r="G359" s="221">
        <v>4</v>
      </c>
      <c r="H359" s="221"/>
      <c r="K359" s="139" t="s">
        <v>276</v>
      </c>
      <c r="L359" s="140">
        <v>4</v>
      </c>
      <c r="M359" s="141">
        <v>4</v>
      </c>
      <c r="N359" s="141">
        <v>2.5</v>
      </c>
      <c r="O359" s="141">
        <v>3.5</v>
      </c>
      <c r="P359" s="141">
        <v>3</v>
      </c>
      <c r="Q359" s="142">
        <v>3</v>
      </c>
      <c r="R359" s="218">
        <v>111</v>
      </c>
      <c r="S359" s="218">
        <v>120</v>
      </c>
      <c r="T359" s="218"/>
      <c r="U359" s="218">
        <f t="shared" si="43"/>
        <v>4</v>
      </c>
      <c r="V359" s="218"/>
    </row>
    <row r="360" spans="2:22" x14ac:dyDescent="0.25">
      <c r="B360" s="218"/>
      <c r="C360" s="218"/>
      <c r="D360" s="218"/>
      <c r="E360" s="218"/>
      <c r="F360" s="218"/>
      <c r="G360" s="218"/>
      <c r="H360" s="218"/>
    </row>
    <row r="361" spans="2:22" x14ac:dyDescent="0.25">
      <c r="B361" s="218"/>
      <c r="C361" s="218"/>
      <c r="D361" s="218"/>
      <c r="E361" s="218"/>
      <c r="F361" s="218"/>
      <c r="G361" s="218"/>
      <c r="H361" s="218"/>
    </row>
    <row r="362" spans="2:22" x14ac:dyDescent="0.25">
      <c r="B362" s="386" t="s">
        <v>318</v>
      </c>
      <c r="C362" s="386"/>
      <c r="D362" s="386"/>
      <c r="E362" s="386"/>
      <c r="F362" s="386"/>
      <c r="G362" s="221"/>
      <c r="H362" s="221"/>
    </row>
    <row r="363" spans="2:22" x14ac:dyDescent="0.25">
      <c r="B363" s="386" t="s">
        <v>254</v>
      </c>
      <c r="C363" s="386"/>
      <c r="D363" s="386" t="s">
        <v>254</v>
      </c>
      <c r="E363" s="386"/>
      <c r="F363" s="192" t="s">
        <v>313</v>
      </c>
      <c r="G363" s="221" t="s">
        <v>314</v>
      </c>
      <c r="H363" s="221" t="s">
        <v>316</v>
      </c>
    </row>
    <row r="364" spans="2:22" x14ac:dyDescent="0.25">
      <c r="B364" s="221">
        <v>0</v>
      </c>
      <c r="C364" s="221">
        <v>10</v>
      </c>
      <c r="D364" s="221">
        <v>2</v>
      </c>
      <c r="E364" s="221">
        <v>10</v>
      </c>
      <c r="F364" s="221">
        <f>E364-D364+1</f>
        <v>9</v>
      </c>
      <c r="G364" s="221">
        <v>2</v>
      </c>
      <c r="H364" s="221">
        <f>(F364*G364+F365*G365+F366*G366+F367*G367+F368*G368+F369*G369)/100</f>
        <v>2.96</v>
      </c>
    </row>
    <row r="365" spans="2:22" x14ac:dyDescent="0.25">
      <c r="B365" s="221">
        <v>11</v>
      </c>
      <c r="C365" s="221">
        <v>25</v>
      </c>
      <c r="D365" s="221">
        <v>11</v>
      </c>
      <c r="E365" s="221">
        <v>25</v>
      </c>
      <c r="F365" s="221">
        <f t="shared" ref="F365:F369" si="44">E365-D365+1</f>
        <v>15</v>
      </c>
      <c r="G365" s="221">
        <v>2.5</v>
      </c>
      <c r="H365" s="221"/>
    </row>
    <row r="366" spans="2:22" x14ac:dyDescent="0.25">
      <c r="B366" s="221">
        <v>26</v>
      </c>
      <c r="C366" s="221">
        <v>55</v>
      </c>
      <c r="D366" s="221">
        <v>26</v>
      </c>
      <c r="E366" s="221">
        <v>55</v>
      </c>
      <c r="F366" s="221">
        <f t="shared" si="44"/>
        <v>30</v>
      </c>
      <c r="G366" s="221">
        <v>3</v>
      </c>
      <c r="H366" s="221"/>
    </row>
    <row r="367" spans="2:22" x14ac:dyDescent="0.25">
      <c r="B367" s="221">
        <v>56</v>
      </c>
      <c r="C367" s="221">
        <v>85</v>
      </c>
      <c r="D367" s="221">
        <v>56</v>
      </c>
      <c r="E367" s="221">
        <v>85</v>
      </c>
      <c r="F367" s="221">
        <f t="shared" si="44"/>
        <v>30</v>
      </c>
      <c r="G367" s="221">
        <v>3</v>
      </c>
      <c r="H367" s="221"/>
    </row>
    <row r="368" spans="2:22" x14ac:dyDescent="0.25">
      <c r="B368" s="221">
        <v>86</v>
      </c>
      <c r="C368" s="221">
        <v>100</v>
      </c>
      <c r="D368" s="221">
        <v>86</v>
      </c>
      <c r="E368" s="221">
        <v>100</v>
      </c>
      <c r="F368" s="221">
        <f t="shared" si="44"/>
        <v>15</v>
      </c>
      <c r="G368" s="221">
        <v>3.5</v>
      </c>
      <c r="H368" s="221"/>
    </row>
    <row r="369" spans="2:8" x14ac:dyDescent="0.25">
      <c r="B369" s="221">
        <v>101</v>
      </c>
      <c r="C369" s="221">
        <v>110</v>
      </c>
      <c r="D369" s="221">
        <v>101</v>
      </c>
      <c r="E369" s="221">
        <v>102</v>
      </c>
      <c r="F369" s="221">
        <f t="shared" si="44"/>
        <v>2</v>
      </c>
      <c r="G369" s="221">
        <v>4</v>
      </c>
      <c r="H369" s="221"/>
    </row>
    <row r="370" spans="2:8" x14ac:dyDescent="0.25">
      <c r="B370" s="221">
        <v>111</v>
      </c>
      <c r="C370" s="221">
        <v>120</v>
      </c>
      <c r="D370" s="221"/>
      <c r="E370" s="221"/>
      <c r="F370" s="221"/>
      <c r="G370" s="221">
        <v>4</v>
      </c>
      <c r="H370" s="221"/>
    </row>
    <row r="371" spans="2:8" x14ac:dyDescent="0.25">
      <c r="B371" s="218"/>
      <c r="C371" s="218"/>
      <c r="D371" s="218"/>
      <c r="E371" s="218"/>
      <c r="F371" s="218"/>
      <c r="G371" s="218"/>
      <c r="H371" s="218"/>
    </row>
    <row r="372" spans="2:8" x14ac:dyDescent="0.25">
      <c r="B372" s="386" t="s">
        <v>320</v>
      </c>
      <c r="C372" s="386"/>
      <c r="D372" s="386"/>
      <c r="E372" s="386"/>
      <c r="F372" s="386"/>
      <c r="G372" s="221"/>
      <c r="H372" s="221"/>
    </row>
    <row r="373" spans="2:8" x14ac:dyDescent="0.25">
      <c r="B373" s="386" t="s">
        <v>254</v>
      </c>
      <c r="C373" s="386"/>
      <c r="D373" s="386" t="s">
        <v>254</v>
      </c>
      <c r="E373" s="386"/>
      <c r="F373" s="192" t="s">
        <v>313</v>
      </c>
      <c r="G373" s="221" t="s">
        <v>314</v>
      </c>
      <c r="H373" s="221" t="s">
        <v>316</v>
      </c>
    </row>
    <row r="374" spans="2:8" x14ac:dyDescent="0.25">
      <c r="B374" s="221">
        <v>0</v>
      </c>
      <c r="C374" s="221">
        <v>10</v>
      </c>
      <c r="D374" s="221">
        <v>3</v>
      </c>
      <c r="E374" s="221">
        <v>10</v>
      </c>
      <c r="F374" s="221">
        <f>E374-D374+1</f>
        <v>8</v>
      </c>
      <c r="G374" s="221">
        <v>2</v>
      </c>
      <c r="H374" s="221">
        <f>(F374*G374+F375*G375+F376*G376+F377*G377+F378*G378+F379*G379)/100</f>
        <v>2.98</v>
      </c>
    </row>
    <row r="375" spans="2:8" x14ac:dyDescent="0.25">
      <c r="B375" s="221">
        <v>11</v>
      </c>
      <c r="C375" s="221">
        <v>25</v>
      </c>
      <c r="D375" s="221">
        <v>11</v>
      </c>
      <c r="E375" s="221">
        <v>25</v>
      </c>
      <c r="F375" s="221">
        <f t="shared" ref="F375:F379" si="45">E375-D375+1</f>
        <v>15</v>
      </c>
      <c r="G375" s="221">
        <v>2.5</v>
      </c>
      <c r="H375" s="221"/>
    </row>
    <row r="376" spans="2:8" x14ac:dyDescent="0.25">
      <c r="B376" s="221">
        <v>26</v>
      </c>
      <c r="C376" s="221">
        <v>55</v>
      </c>
      <c r="D376" s="221">
        <v>26</v>
      </c>
      <c r="E376" s="221">
        <v>55</v>
      </c>
      <c r="F376" s="221">
        <f t="shared" si="45"/>
        <v>30</v>
      </c>
      <c r="G376" s="221">
        <v>3</v>
      </c>
      <c r="H376" s="221"/>
    </row>
    <row r="377" spans="2:8" x14ac:dyDescent="0.25">
      <c r="B377" s="221">
        <v>56</v>
      </c>
      <c r="C377" s="221">
        <v>85</v>
      </c>
      <c r="D377" s="221">
        <v>56</v>
      </c>
      <c r="E377" s="221">
        <v>85</v>
      </c>
      <c r="F377" s="221">
        <f t="shared" si="45"/>
        <v>30</v>
      </c>
      <c r="G377" s="221">
        <v>3</v>
      </c>
      <c r="H377" s="221"/>
    </row>
    <row r="378" spans="2:8" x14ac:dyDescent="0.25">
      <c r="B378" s="221">
        <v>86</v>
      </c>
      <c r="C378" s="221">
        <v>100</v>
      </c>
      <c r="D378" s="221">
        <v>86</v>
      </c>
      <c r="E378" s="221">
        <v>100</v>
      </c>
      <c r="F378" s="221">
        <f t="shared" si="45"/>
        <v>15</v>
      </c>
      <c r="G378" s="221">
        <v>3.5</v>
      </c>
      <c r="H378" s="221"/>
    </row>
    <row r="379" spans="2:8" x14ac:dyDescent="0.25">
      <c r="B379" s="221">
        <v>101</v>
      </c>
      <c r="C379" s="221">
        <v>110</v>
      </c>
      <c r="D379" s="221">
        <v>101</v>
      </c>
      <c r="E379" s="221">
        <v>103</v>
      </c>
      <c r="F379" s="221">
        <f t="shared" si="45"/>
        <v>3</v>
      </c>
      <c r="G379" s="221">
        <v>4</v>
      </c>
      <c r="H379" s="221"/>
    </row>
    <row r="380" spans="2:8" x14ac:dyDescent="0.25">
      <c r="B380" s="221">
        <v>111</v>
      </c>
      <c r="C380" s="221">
        <v>120</v>
      </c>
      <c r="D380" s="221"/>
      <c r="E380" s="221"/>
      <c r="F380" s="221"/>
      <c r="G380" s="221">
        <v>4</v>
      </c>
      <c r="H380" s="221"/>
    </row>
    <row r="381" spans="2:8" x14ac:dyDescent="0.25">
      <c r="B381" s="218"/>
      <c r="C381" s="218"/>
      <c r="D381" s="218"/>
      <c r="E381" s="218"/>
      <c r="F381" s="218"/>
      <c r="G381" s="218"/>
      <c r="H381" s="218"/>
    </row>
    <row r="382" spans="2:8" x14ac:dyDescent="0.25">
      <c r="B382" s="386" t="s">
        <v>321</v>
      </c>
      <c r="C382" s="386"/>
      <c r="D382" s="386"/>
      <c r="E382" s="386"/>
      <c r="F382" s="386"/>
      <c r="G382" s="221"/>
      <c r="H382" s="221"/>
    </row>
    <row r="383" spans="2:8" x14ac:dyDescent="0.25">
      <c r="B383" s="386" t="s">
        <v>254</v>
      </c>
      <c r="C383" s="386"/>
      <c r="D383" s="386" t="s">
        <v>254</v>
      </c>
      <c r="E383" s="386"/>
      <c r="F383" s="192" t="s">
        <v>313</v>
      </c>
      <c r="G383" s="221" t="s">
        <v>314</v>
      </c>
      <c r="H383" s="221" t="s">
        <v>316</v>
      </c>
    </row>
    <row r="384" spans="2:8" x14ac:dyDescent="0.25">
      <c r="B384" s="221">
        <v>0</v>
      </c>
      <c r="C384" s="221">
        <v>10</v>
      </c>
      <c r="D384" s="221">
        <v>4</v>
      </c>
      <c r="E384" s="221">
        <v>10</v>
      </c>
      <c r="F384" s="221">
        <f>E384-D384+1</f>
        <v>7</v>
      </c>
      <c r="G384" s="221">
        <v>2</v>
      </c>
      <c r="H384" s="221">
        <f>(F384*G384+F385*G385+F386*G386+F387*G387+F388*G388+F389*G389)/100</f>
        <v>3</v>
      </c>
    </row>
    <row r="385" spans="2:8" x14ac:dyDescent="0.25">
      <c r="B385" s="221">
        <v>11</v>
      </c>
      <c r="C385" s="221">
        <v>25</v>
      </c>
      <c r="D385" s="221">
        <v>11</v>
      </c>
      <c r="E385" s="221">
        <v>25</v>
      </c>
      <c r="F385" s="221">
        <f t="shared" ref="F385:F389" si="46">E385-D385+1</f>
        <v>15</v>
      </c>
      <c r="G385" s="221">
        <v>2.5</v>
      </c>
      <c r="H385" s="221"/>
    </row>
    <row r="386" spans="2:8" x14ac:dyDescent="0.25">
      <c r="B386" s="221">
        <v>26</v>
      </c>
      <c r="C386" s="221">
        <v>55</v>
      </c>
      <c r="D386" s="221">
        <v>26</v>
      </c>
      <c r="E386" s="221">
        <v>55</v>
      </c>
      <c r="F386" s="221">
        <f t="shared" si="46"/>
        <v>30</v>
      </c>
      <c r="G386" s="221">
        <v>3</v>
      </c>
      <c r="H386" s="221"/>
    </row>
    <row r="387" spans="2:8" x14ac:dyDescent="0.25">
      <c r="B387" s="221">
        <v>56</v>
      </c>
      <c r="C387" s="221">
        <v>85</v>
      </c>
      <c r="D387" s="221">
        <v>56</v>
      </c>
      <c r="E387" s="221">
        <v>85</v>
      </c>
      <c r="F387" s="221">
        <f t="shared" si="46"/>
        <v>30</v>
      </c>
      <c r="G387" s="221">
        <v>3</v>
      </c>
      <c r="H387" s="221"/>
    </row>
    <row r="388" spans="2:8" x14ac:dyDescent="0.25">
      <c r="B388" s="221">
        <v>86</v>
      </c>
      <c r="C388" s="221">
        <v>100</v>
      </c>
      <c r="D388" s="221">
        <v>86</v>
      </c>
      <c r="E388" s="221">
        <v>100</v>
      </c>
      <c r="F388" s="221">
        <f t="shared" si="46"/>
        <v>15</v>
      </c>
      <c r="G388" s="221">
        <v>3.5</v>
      </c>
      <c r="H388" s="221"/>
    </row>
    <row r="389" spans="2:8" x14ac:dyDescent="0.25">
      <c r="B389" s="221">
        <v>101</v>
      </c>
      <c r="C389" s="221">
        <v>110</v>
      </c>
      <c r="D389" s="221">
        <v>101</v>
      </c>
      <c r="E389" s="221">
        <v>104</v>
      </c>
      <c r="F389" s="221">
        <f t="shared" si="46"/>
        <v>4</v>
      </c>
      <c r="G389" s="221">
        <v>4</v>
      </c>
      <c r="H389" s="221"/>
    </row>
    <row r="390" spans="2:8" x14ac:dyDescent="0.25">
      <c r="B390" s="221">
        <v>111</v>
      </c>
      <c r="C390" s="221">
        <v>120</v>
      </c>
      <c r="D390" s="221"/>
      <c r="E390" s="221"/>
      <c r="F390" s="221"/>
      <c r="G390" s="221">
        <v>4</v>
      </c>
      <c r="H390" s="221"/>
    </row>
    <row r="391" spans="2:8" x14ac:dyDescent="0.25">
      <c r="B391" s="218"/>
      <c r="C391" s="218"/>
      <c r="D391" s="218"/>
      <c r="E391" s="218"/>
      <c r="F391" s="218"/>
      <c r="G391" s="218"/>
      <c r="H391" s="218"/>
    </row>
    <row r="392" spans="2:8" x14ac:dyDescent="0.25">
      <c r="B392" s="386" t="s">
        <v>322</v>
      </c>
      <c r="C392" s="386"/>
      <c r="D392" s="386"/>
      <c r="E392" s="386"/>
      <c r="F392" s="386"/>
      <c r="G392" s="221"/>
      <c r="H392" s="221"/>
    </row>
    <row r="393" spans="2:8" x14ac:dyDescent="0.25">
      <c r="B393" s="386" t="s">
        <v>254</v>
      </c>
      <c r="C393" s="386"/>
      <c r="D393" s="386" t="s">
        <v>254</v>
      </c>
      <c r="E393" s="386"/>
      <c r="F393" s="192" t="s">
        <v>313</v>
      </c>
      <c r="G393" s="221" t="s">
        <v>314</v>
      </c>
      <c r="H393" s="221" t="s">
        <v>316</v>
      </c>
    </row>
    <row r="394" spans="2:8" x14ac:dyDescent="0.25">
      <c r="B394" s="221">
        <v>0</v>
      </c>
      <c r="C394" s="221">
        <v>10</v>
      </c>
      <c r="D394" s="221">
        <v>5</v>
      </c>
      <c r="E394" s="221">
        <v>10</v>
      </c>
      <c r="F394" s="221">
        <f>E394-D394+1</f>
        <v>6</v>
      </c>
      <c r="G394" s="221">
        <v>2</v>
      </c>
      <c r="H394" s="221">
        <f>(F394*G394+F395*G395+F396*G396+F397*G397+F398*G398+F399*G399)/100</f>
        <v>3.02</v>
      </c>
    </row>
    <row r="395" spans="2:8" x14ac:dyDescent="0.25">
      <c r="B395" s="221">
        <v>11</v>
      </c>
      <c r="C395" s="221">
        <v>25</v>
      </c>
      <c r="D395" s="221">
        <v>11</v>
      </c>
      <c r="E395" s="221">
        <v>25</v>
      </c>
      <c r="F395" s="221">
        <f t="shared" ref="F395:F399" si="47">E395-D395+1</f>
        <v>15</v>
      </c>
      <c r="G395" s="221">
        <v>2.5</v>
      </c>
      <c r="H395" s="221"/>
    </row>
    <row r="396" spans="2:8" x14ac:dyDescent="0.25">
      <c r="B396" s="221">
        <v>26</v>
      </c>
      <c r="C396" s="221">
        <v>55</v>
      </c>
      <c r="D396" s="221">
        <v>26</v>
      </c>
      <c r="E396" s="221">
        <v>55</v>
      </c>
      <c r="F396" s="221">
        <f t="shared" si="47"/>
        <v>30</v>
      </c>
      <c r="G396" s="221">
        <v>3</v>
      </c>
      <c r="H396" s="221"/>
    </row>
    <row r="397" spans="2:8" x14ac:dyDescent="0.25">
      <c r="B397" s="221">
        <v>56</v>
      </c>
      <c r="C397" s="221">
        <v>85</v>
      </c>
      <c r="D397" s="221">
        <v>56</v>
      </c>
      <c r="E397" s="221">
        <v>85</v>
      </c>
      <c r="F397" s="221">
        <f t="shared" si="47"/>
        <v>30</v>
      </c>
      <c r="G397" s="221">
        <v>3</v>
      </c>
      <c r="H397" s="221"/>
    </row>
    <row r="398" spans="2:8" x14ac:dyDescent="0.25">
      <c r="B398" s="221">
        <v>86</v>
      </c>
      <c r="C398" s="221">
        <v>100</v>
      </c>
      <c r="D398" s="221">
        <v>86</v>
      </c>
      <c r="E398" s="221">
        <v>100</v>
      </c>
      <c r="F398" s="221">
        <f t="shared" si="47"/>
        <v>15</v>
      </c>
      <c r="G398" s="221">
        <v>3.5</v>
      </c>
      <c r="H398" s="221"/>
    </row>
    <row r="399" spans="2:8" x14ac:dyDescent="0.25">
      <c r="B399" s="221">
        <v>101</v>
      </c>
      <c r="C399" s="221">
        <v>110</v>
      </c>
      <c r="D399" s="221">
        <v>101</v>
      </c>
      <c r="E399" s="221">
        <v>105</v>
      </c>
      <c r="F399" s="221">
        <f t="shared" si="47"/>
        <v>5</v>
      </c>
      <c r="G399" s="221">
        <v>4</v>
      </c>
      <c r="H399" s="221"/>
    </row>
    <row r="400" spans="2:8" x14ac:dyDescent="0.25">
      <c r="B400" s="221">
        <v>111</v>
      </c>
      <c r="C400" s="221">
        <v>120</v>
      </c>
      <c r="D400" s="221"/>
      <c r="E400" s="221"/>
      <c r="F400" s="221"/>
      <c r="G400" s="221">
        <v>4</v>
      </c>
      <c r="H400" s="221"/>
    </row>
    <row r="401" spans="2:8" x14ac:dyDescent="0.25">
      <c r="B401" s="218"/>
      <c r="C401" s="218"/>
      <c r="D401" s="218"/>
      <c r="E401" s="218"/>
      <c r="F401" s="218"/>
      <c r="G401" s="218"/>
      <c r="H401" s="218"/>
    </row>
    <row r="402" spans="2:8" x14ac:dyDescent="0.25">
      <c r="B402" s="386" t="s">
        <v>323</v>
      </c>
      <c r="C402" s="386"/>
      <c r="D402" s="386"/>
      <c r="E402" s="386"/>
      <c r="F402" s="386"/>
      <c r="G402" s="221"/>
      <c r="H402" s="221"/>
    </row>
    <row r="403" spans="2:8" x14ac:dyDescent="0.25">
      <c r="B403" s="386" t="s">
        <v>254</v>
      </c>
      <c r="C403" s="386"/>
      <c r="D403" s="386" t="s">
        <v>254</v>
      </c>
      <c r="E403" s="386"/>
      <c r="F403" s="192" t="s">
        <v>313</v>
      </c>
      <c r="G403" s="221" t="s">
        <v>314</v>
      </c>
      <c r="H403" s="221" t="s">
        <v>316</v>
      </c>
    </row>
    <row r="404" spans="2:8" x14ac:dyDescent="0.25">
      <c r="B404" s="221">
        <v>0</v>
      </c>
      <c r="C404" s="221">
        <v>10</v>
      </c>
      <c r="D404" s="221">
        <v>6</v>
      </c>
      <c r="E404" s="221">
        <v>10</v>
      </c>
      <c r="F404" s="221">
        <f>E404-D404+1</f>
        <v>5</v>
      </c>
      <c r="G404" s="221">
        <v>2</v>
      </c>
      <c r="H404" s="221">
        <f>(F404*G404+F405*G405+F406*G406+F407*G407+F408*G408+F409*G409)/100</f>
        <v>3.04</v>
      </c>
    </row>
    <row r="405" spans="2:8" x14ac:dyDescent="0.25">
      <c r="B405" s="221">
        <v>11</v>
      </c>
      <c r="C405" s="221">
        <v>25</v>
      </c>
      <c r="D405" s="221">
        <v>11</v>
      </c>
      <c r="E405" s="221">
        <v>25</v>
      </c>
      <c r="F405" s="221">
        <f t="shared" ref="F405:F409" si="48">E405-D405+1</f>
        <v>15</v>
      </c>
      <c r="G405" s="221">
        <v>2.5</v>
      </c>
      <c r="H405" s="221"/>
    </row>
    <row r="406" spans="2:8" x14ac:dyDescent="0.25">
      <c r="B406" s="221">
        <v>26</v>
      </c>
      <c r="C406" s="221">
        <v>55</v>
      </c>
      <c r="D406" s="221">
        <v>26</v>
      </c>
      <c r="E406" s="221">
        <v>55</v>
      </c>
      <c r="F406" s="221">
        <f t="shared" si="48"/>
        <v>30</v>
      </c>
      <c r="G406" s="221">
        <v>3</v>
      </c>
      <c r="H406" s="221"/>
    </row>
    <row r="407" spans="2:8" x14ac:dyDescent="0.25">
      <c r="B407" s="221">
        <v>56</v>
      </c>
      <c r="C407" s="221">
        <v>85</v>
      </c>
      <c r="D407" s="221">
        <v>56</v>
      </c>
      <c r="E407" s="221">
        <v>85</v>
      </c>
      <c r="F407" s="221">
        <f t="shared" si="48"/>
        <v>30</v>
      </c>
      <c r="G407" s="221">
        <v>3</v>
      </c>
      <c r="H407" s="221"/>
    </row>
    <row r="408" spans="2:8" x14ac:dyDescent="0.25">
      <c r="B408" s="221">
        <v>86</v>
      </c>
      <c r="C408" s="221">
        <v>100</v>
      </c>
      <c r="D408" s="221">
        <v>86</v>
      </c>
      <c r="E408" s="221">
        <v>100</v>
      </c>
      <c r="F408" s="221">
        <f t="shared" si="48"/>
        <v>15</v>
      </c>
      <c r="G408" s="221">
        <v>3.5</v>
      </c>
      <c r="H408" s="221"/>
    </row>
    <row r="409" spans="2:8" x14ac:dyDescent="0.25">
      <c r="B409" s="221">
        <v>101</v>
      </c>
      <c r="C409" s="221">
        <v>110</v>
      </c>
      <c r="D409" s="221">
        <v>101</v>
      </c>
      <c r="E409" s="221">
        <v>106</v>
      </c>
      <c r="F409" s="221">
        <f t="shared" si="48"/>
        <v>6</v>
      </c>
      <c r="G409" s="221">
        <v>4</v>
      </c>
      <c r="H409" s="221"/>
    </row>
    <row r="410" spans="2:8" x14ac:dyDescent="0.25">
      <c r="B410" s="221">
        <v>111</v>
      </c>
      <c r="C410" s="221">
        <v>120</v>
      </c>
      <c r="D410" s="221"/>
      <c r="E410" s="221"/>
      <c r="F410" s="221"/>
      <c r="G410" s="221">
        <v>4</v>
      </c>
      <c r="H410" s="221"/>
    </row>
    <row r="411" spans="2:8" x14ac:dyDescent="0.25">
      <c r="B411" s="218"/>
      <c r="C411" s="218"/>
      <c r="D411" s="218"/>
      <c r="E411" s="218"/>
      <c r="F411" s="218"/>
      <c r="G411" s="218"/>
      <c r="H411" s="218"/>
    </row>
    <row r="412" spans="2:8" x14ac:dyDescent="0.25">
      <c r="B412" s="386" t="s">
        <v>324</v>
      </c>
      <c r="C412" s="386"/>
      <c r="D412" s="386"/>
      <c r="E412" s="386"/>
      <c r="F412" s="386"/>
      <c r="G412" s="221"/>
      <c r="H412" s="221"/>
    </row>
    <row r="413" spans="2:8" x14ac:dyDescent="0.25">
      <c r="B413" s="386" t="s">
        <v>254</v>
      </c>
      <c r="C413" s="386"/>
      <c r="D413" s="386" t="s">
        <v>254</v>
      </c>
      <c r="E413" s="386"/>
      <c r="F413" s="192" t="s">
        <v>313</v>
      </c>
      <c r="G413" s="221" t="s">
        <v>314</v>
      </c>
      <c r="H413" s="221" t="s">
        <v>316</v>
      </c>
    </row>
    <row r="414" spans="2:8" x14ac:dyDescent="0.25">
      <c r="B414" s="221">
        <v>0</v>
      </c>
      <c r="C414" s="221">
        <v>10</v>
      </c>
      <c r="D414" s="221">
        <v>7</v>
      </c>
      <c r="E414" s="221">
        <v>10</v>
      </c>
      <c r="F414" s="221">
        <f>E414-D414+1</f>
        <v>4</v>
      </c>
      <c r="G414" s="221">
        <v>2</v>
      </c>
      <c r="H414" s="221">
        <f>(F414*G414+F415*G415+F416*G416+F417*G417+F418*G418+F419*G419)/100</f>
        <v>3.06</v>
      </c>
    </row>
    <row r="415" spans="2:8" x14ac:dyDescent="0.25">
      <c r="B415" s="221">
        <v>11</v>
      </c>
      <c r="C415" s="221">
        <v>25</v>
      </c>
      <c r="D415" s="221">
        <v>11</v>
      </c>
      <c r="E415" s="221">
        <v>25</v>
      </c>
      <c r="F415" s="221">
        <f t="shared" ref="F415:F419" si="49">E415-D415+1</f>
        <v>15</v>
      </c>
      <c r="G415" s="221">
        <v>2.5</v>
      </c>
      <c r="H415" s="221"/>
    </row>
    <row r="416" spans="2:8" x14ac:dyDescent="0.25">
      <c r="B416" s="221">
        <v>26</v>
      </c>
      <c r="C416" s="221">
        <v>55</v>
      </c>
      <c r="D416" s="221">
        <v>26</v>
      </c>
      <c r="E416" s="221">
        <v>55</v>
      </c>
      <c r="F416" s="221">
        <f t="shared" si="49"/>
        <v>30</v>
      </c>
      <c r="G416" s="221">
        <v>3</v>
      </c>
      <c r="H416" s="221"/>
    </row>
    <row r="417" spans="2:8" x14ac:dyDescent="0.25">
      <c r="B417" s="221">
        <v>56</v>
      </c>
      <c r="C417" s="221">
        <v>85</v>
      </c>
      <c r="D417" s="221">
        <v>56</v>
      </c>
      <c r="E417" s="221">
        <v>85</v>
      </c>
      <c r="F417" s="221">
        <f t="shared" si="49"/>
        <v>30</v>
      </c>
      <c r="G417" s="221">
        <v>3</v>
      </c>
      <c r="H417" s="221"/>
    </row>
    <row r="418" spans="2:8" x14ac:dyDescent="0.25">
      <c r="B418" s="221">
        <v>86</v>
      </c>
      <c r="C418" s="221">
        <v>100</v>
      </c>
      <c r="D418" s="221">
        <v>86</v>
      </c>
      <c r="E418" s="221">
        <v>100</v>
      </c>
      <c r="F418" s="221">
        <f t="shared" si="49"/>
        <v>15</v>
      </c>
      <c r="G418" s="221">
        <v>3.5</v>
      </c>
      <c r="H418" s="221"/>
    </row>
    <row r="419" spans="2:8" x14ac:dyDescent="0.25">
      <c r="B419" s="221">
        <v>101</v>
      </c>
      <c r="C419" s="221">
        <v>110</v>
      </c>
      <c r="D419" s="221">
        <v>101</v>
      </c>
      <c r="E419" s="221">
        <v>107</v>
      </c>
      <c r="F419" s="221">
        <f t="shared" si="49"/>
        <v>7</v>
      </c>
      <c r="G419" s="221">
        <v>4</v>
      </c>
      <c r="H419" s="221"/>
    </row>
    <row r="420" spans="2:8" x14ac:dyDescent="0.25">
      <c r="B420" s="221">
        <v>111</v>
      </c>
      <c r="C420" s="221">
        <v>120</v>
      </c>
      <c r="D420" s="221"/>
      <c r="E420" s="221"/>
      <c r="F420" s="221"/>
      <c r="G420" s="221">
        <v>4</v>
      </c>
      <c r="H420" s="221"/>
    </row>
    <row r="421" spans="2:8" x14ac:dyDescent="0.25">
      <c r="B421" s="218"/>
      <c r="C421" s="218"/>
      <c r="D421" s="218"/>
      <c r="E421" s="218"/>
      <c r="F421" s="218"/>
      <c r="G421" s="218"/>
      <c r="H421" s="218"/>
    </row>
    <row r="422" spans="2:8" x14ac:dyDescent="0.25">
      <c r="B422" s="386" t="s">
        <v>325</v>
      </c>
      <c r="C422" s="386"/>
      <c r="D422" s="386"/>
      <c r="E422" s="386"/>
      <c r="F422" s="386"/>
      <c r="G422" s="221"/>
      <c r="H422" s="221"/>
    </row>
    <row r="423" spans="2:8" x14ac:dyDescent="0.25">
      <c r="B423" s="386" t="s">
        <v>254</v>
      </c>
      <c r="C423" s="386"/>
      <c r="D423" s="386" t="s">
        <v>254</v>
      </c>
      <c r="E423" s="386"/>
      <c r="F423" s="192" t="s">
        <v>313</v>
      </c>
      <c r="G423" s="221" t="s">
        <v>314</v>
      </c>
      <c r="H423" s="221" t="s">
        <v>316</v>
      </c>
    </row>
    <row r="424" spans="2:8" x14ac:dyDescent="0.25">
      <c r="B424" s="221">
        <v>0</v>
      </c>
      <c r="C424" s="221">
        <v>10</v>
      </c>
      <c r="D424" s="221">
        <v>8</v>
      </c>
      <c r="E424" s="221">
        <v>10</v>
      </c>
      <c r="F424" s="221">
        <f>E424-D424+1</f>
        <v>3</v>
      </c>
      <c r="G424" s="221">
        <v>2</v>
      </c>
      <c r="H424" s="221">
        <f>(F424*G424+F425*G425+F426*G426+F427*G427+F428*G428+F429*G429)/100</f>
        <v>3.08</v>
      </c>
    </row>
    <row r="425" spans="2:8" x14ac:dyDescent="0.25">
      <c r="B425" s="221">
        <v>11</v>
      </c>
      <c r="C425" s="221">
        <v>25</v>
      </c>
      <c r="D425" s="221">
        <v>11</v>
      </c>
      <c r="E425" s="221">
        <v>25</v>
      </c>
      <c r="F425" s="221">
        <f t="shared" ref="F425:F429" si="50">E425-D425+1</f>
        <v>15</v>
      </c>
      <c r="G425" s="221">
        <v>2.5</v>
      </c>
      <c r="H425" s="221"/>
    </row>
    <row r="426" spans="2:8" x14ac:dyDescent="0.25">
      <c r="B426" s="221">
        <v>26</v>
      </c>
      <c r="C426" s="221">
        <v>55</v>
      </c>
      <c r="D426" s="221">
        <v>26</v>
      </c>
      <c r="E426" s="221">
        <v>55</v>
      </c>
      <c r="F426" s="221">
        <f t="shared" si="50"/>
        <v>30</v>
      </c>
      <c r="G426" s="221">
        <v>3</v>
      </c>
      <c r="H426" s="221"/>
    </row>
    <row r="427" spans="2:8" x14ac:dyDescent="0.25">
      <c r="B427" s="221">
        <v>56</v>
      </c>
      <c r="C427" s="221">
        <v>85</v>
      </c>
      <c r="D427" s="221">
        <v>56</v>
      </c>
      <c r="E427" s="221">
        <v>85</v>
      </c>
      <c r="F427" s="221">
        <f t="shared" si="50"/>
        <v>30</v>
      </c>
      <c r="G427" s="221">
        <v>3</v>
      </c>
      <c r="H427" s="221"/>
    </row>
    <row r="428" spans="2:8" x14ac:dyDescent="0.25">
      <c r="B428" s="221">
        <v>86</v>
      </c>
      <c r="C428" s="221">
        <v>100</v>
      </c>
      <c r="D428" s="221">
        <v>86</v>
      </c>
      <c r="E428" s="221">
        <v>100</v>
      </c>
      <c r="F428" s="221">
        <f t="shared" si="50"/>
        <v>15</v>
      </c>
      <c r="G428" s="221">
        <v>3.5</v>
      </c>
      <c r="H428" s="221"/>
    </row>
    <row r="429" spans="2:8" x14ac:dyDescent="0.25">
      <c r="B429" s="221">
        <v>101</v>
      </c>
      <c r="C429" s="221">
        <v>110</v>
      </c>
      <c r="D429" s="221">
        <v>101</v>
      </c>
      <c r="E429" s="221">
        <v>108</v>
      </c>
      <c r="F429" s="221">
        <f t="shared" si="50"/>
        <v>8</v>
      </c>
      <c r="G429" s="221">
        <v>4</v>
      </c>
      <c r="H429" s="221"/>
    </row>
    <row r="430" spans="2:8" x14ac:dyDescent="0.25">
      <c r="B430" s="221">
        <v>111</v>
      </c>
      <c r="C430" s="221">
        <v>120</v>
      </c>
      <c r="D430" s="221"/>
      <c r="E430" s="221"/>
      <c r="F430" s="221"/>
      <c r="G430" s="221">
        <v>4</v>
      </c>
      <c r="H430" s="221"/>
    </row>
    <row r="431" spans="2:8" x14ac:dyDescent="0.25">
      <c r="B431" s="218"/>
      <c r="C431" s="218"/>
      <c r="D431" s="218"/>
      <c r="E431" s="218"/>
      <c r="F431" s="218"/>
      <c r="G431" s="218"/>
      <c r="H431" s="218"/>
    </row>
    <row r="432" spans="2:8" x14ac:dyDescent="0.25">
      <c r="B432" s="386" t="s">
        <v>326</v>
      </c>
      <c r="C432" s="386"/>
      <c r="D432" s="386"/>
      <c r="E432" s="386"/>
      <c r="F432" s="386"/>
      <c r="G432" s="221"/>
      <c r="H432" s="221"/>
    </row>
    <row r="433" spans="2:8" x14ac:dyDescent="0.25">
      <c r="B433" s="386" t="s">
        <v>254</v>
      </c>
      <c r="C433" s="386"/>
      <c r="D433" s="386" t="s">
        <v>254</v>
      </c>
      <c r="E433" s="386"/>
      <c r="F433" s="192" t="s">
        <v>313</v>
      </c>
      <c r="G433" s="221" t="s">
        <v>314</v>
      </c>
      <c r="H433" s="221" t="s">
        <v>316</v>
      </c>
    </row>
    <row r="434" spans="2:8" x14ac:dyDescent="0.25">
      <c r="B434" s="221">
        <v>0</v>
      </c>
      <c r="C434" s="221">
        <v>10</v>
      </c>
      <c r="D434" s="221">
        <v>9</v>
      </c>
      <c r="E434" s="221">
        <v>10</v>
      </c>
      <c r="F434" s="221">
        <f>E434-D434+1</f>
        <v>2</v>
      </c>
      <c r="G434" s="221">
        <v>2</v>
      </c>
      <c r="H434" s="221">
        <f>(F434*G434+F435*G435+F436*G436+F437*G437+F438*G438+F439*G439)/100</f>
        <v>3.1</v>
      </c>
    </row>
    <row r="435" spans="2:8" x14ac:dyDescent="0.25">
      <c r="B435" s="221">
        <v>11</v>
      </c>
      <c r="C435" s="221">
        <v>25</v>
      </c>
      <c r="D435" s="221">
        <v>11</v>
      </c>
      <c r="E435" s="221">
        <v>25</v>
      </c>
      <c r="F435" s="221">
        <f t="shared" ref="F435:F439" si="51">E435-D435+1</f>
        <v>15</v>
      </c>
      <c r="G435" s="221">
        <v>2.5</v>
      </c>
      <c r="H435" s="221"/>
    </row>
    <row r="436" spans="2:8" x14ac:dyDescent="0.25">
      <c r="B436" s="221">
        <v>26</v>
      </c>
      <c r="C436" s="221">
        <v>55</v>
      </c>
      <c r="D436" s="221">
        <v>26</v>
      </c>
      <c r="E436" s="221">
        <v>55</v>
      </c>
      <c r="F436" s="221">
        <f t="shared" si="51"/>
        <v>30</v>
      </c>
      <c r="G436" s="221">
        <v>3</v>
      </c>
      <c r="H436" s="221"/>
    </row>
    <row r="437" spans="2:8" x14ac:dyDescent="0.25">
      <c r="B437" s="221">
        <v>56</v>
      </c>
      <c r="C437" s="221">
        <v>85</v>
      </c>
      <c r="D437" s="221">
        <v>56</v>
      </c>
      <c r="E437" s="221">
        <v>85</v>
      </c>
      <c r="F437" s="221">
        <f t="shared" si="51"/>
        <v>30</v>
      </c>
      <c r="G437" s="221">
        <v>3</v>
      </c>
      <c r="H437" s="221"/>
    </row>
    <row r="438" spans="2:8" x14ac:dyDescent="0.25">
      <c r="B438" s="221">
        <v>86</v>
      </c>
      <c r="C438" s="221">
        <v>100</v>
      </c>
      <c r="D438" s="221">
        <v>86</v>
      </c>
      <c r="E438" s="221">
        <v>100</v>
      </c>
      <c r="F438" s="221">
        <f t="shared" si="51"/>
        <v>15</v>
      </c>
      <c r="G438" s="221">
        <v>3.5</v>
      </c>
      <c r="H438" s="221"/>
    </row>
    <row r="439" spans="2:8" x14ac:dyDescent="0.25">
      <c r="B439" s="221">
        <v>101</v>
      </c>
      <c r="C439" s="221">
        <v>110</v>
      </c>
      <c r="D439" s="221">
        <v>101</v>
      </c>
      <c r="E439" s="221">
        <v>109</v>
      </c>
      <c r="F439" s="221">
        <f t="shared" si="51"/>
        <v>9</v>
      </c>
      <c r="G439" s="221">
        <v>4</v>
      </c>
      <c r="H439" s="221"/>
    </row>
    <row r="440" spans="2:8" x14ac:dyDescent="0.25">
      <c r="B440" s="221">
        <v>111</v>
      </c>
      <c r="C440" s="221">
        <v>120</v>
      </c>
      <c r="D440" s="221"/>
      <c r="E440" s="221"/>
      <c r="F440" s="221"/>
      <c r="G440" s="221">
        <v>4</v>
      </c>
      <c r="H440" s="221"/>
    </row>
    <row r="441" spans="2:8" x14ac:dyDescent="0.25">
      <c r="B441" s="218"/>
      <c r="C441" s="218"/>
      <c r="D441" s="218"/>
      <c r="E441" s="218"/>
      <c r="F441" s="218"/>
      <c r="G441" s="218"/>
      <c r="H441" s="218"/>
    </row>
    <row r="442" spans="2:8" x14ac:dyDescent="0.25">
      <c r="B442" s="386" t="s">
        <v>327</v>
      </c>
      <c r="C442" s="386"/>
      <c r="D442" s="386"/>
      <c r="E442" s="386"/>
      <c r="F442" s="386"/>
      <c r="G442" s="221"/>
      <c r="H442" s="221"/>
    </row>
    <row r="443" spans="2:8" x14ac:dyDescent="0.25">
      <c r="B443" s="386" t="s">
        <v>254</v>
      </c>
      <c r="C443" s="386"/>
      <c r="D443" s="386" t="s">
        <v>254</v>
      </c>
      <c r="E443" s="386"/>
      <c r="F443" s="192" t="s">
        <v>313</v>
      </c>
      <c r="G443" s="221" t="s">
        <v>314</v>
      </c>
      <c r="H443" s="221" t="s">
        <v>316</v>
      </c>
    </row>
    <row r="444" spans="2:8" x14ac:dyDescent="0.25">
      <c r="B444" s="221">
        <v>0</v>
      </c>
      <c r="C444" s="221">
        <v>10</v>
      </c>
      <c r="D444" s="221">
        <v>10</v>
      </c>
      <c r="E444" s="221">
        <v>10</v>
      </c>
      <c r="F444" s="221">
        <f>E444-D444+1</f>
        <v>1</v>
      </c>
      <c r="G444" s="221">
        <v>2</v>
      </c>
      <c r="H444" s="221">
        <f>(F444*G444+F445*G445+F446*G446+F447*G447+F448*G448+F449*G449)/100</f>
        <v>3.12</v>
      </c>
    </row>
    <row r="445" spans="2:8" x14ac:dyDescent="0.25">
      <c r="B445" s="221">
        <v>11</v>
      </c>
      <c r="C445" s="221">
        <v>25</v>
      </c>
      <c r="D445" s="221">
        <v>11</v>
      </c>
      <c r="E445" s="221">
        <v>25</v>
      </c>
      <c r="F445" s="221">
        <f t="shared" ref="F445:F449" si="52">E445-D445+1</f>
        <v>15</v>
      </c>
      <c r="G445" s="221">
        <v>2.5</v>
      </c>
      <c r="H445" s="221"/>
    </row>
    <row r="446" spans="2:8" x14ac:dyDescent="0.25">
      <c r="B446" s="221">
        <v>26</v>
      </c>
      <c r="C446" s="221">
        <v>55</v>
      </c>
      <c r="D446" s="221">
        <v>26</v>
      </c>
      <c r="E446" s="221">
        <v>55</v>
      </c>
      <c r="F446" s="221">
        <f t="shared" si="52"/>
        <v>30</v>
      </c>
      <c r="G446" s="221">
        <v>3</v>
      </c>
      <c r="H446" s="221"/>
    </row>
    <row r="447" spans="2:8" x14ac:dyDescent="0.25">
      <c r="B447" s="221">
        <v>56</v>
      </c>
      <c r="C447" s="221">
        <v>85</v>
      </c>
      <c r="D447" s="221">
        <v>56</v>
      </c>
      <c r="E447" s="221">
        <v>85</v>
      </c>
      <c r="F447" s="221">
        <f t="shared" si="52"/>
        <v>30</v>
      </c>
      <c r="G447" s="221">
        <v>3</v>
      </c>
      <c r="H447" s="221"/>
    </row>
    <row r="448" spans="2:8" x14ac:dyDescent="0.25">
      <c r="B448" s="221">
        <v>86</v>
      </c>
      <c r="C448" s="221">
        <v>100</v>
      </c>
      <c r="D448" s="221">
        <v>86</v>
      </c>
      <c r="E448" s="221">
        <v>100</v>
      </c>
      <c r="F448" s="221">
        <f t="shared" si="52"/>
        <v>15</v>
      </c>
      <c r="G448" s="221">
        <v>3.5</v>
      </c>
      <c r="H448" s="221"/>
    </row>
    <row r="449" spans="2:8" x14ac:dyDescent="0.25">
      <c r="B449" s="221">
        <v>101</v>
      </c>
      <c r="C449" s="221">
        <v>110</v>
      </c>
      <c r="D449" s="221">
        <v>101</v>
      </c>
      <c r="E449" s="221">
        <v>110</v>
      </c>
      <c r="F449" s="221">
        <f t="shared" si="52"/>
        <v>10</v>
      </c>
      <c r="G449" s="221">
        <v>4</v>
      </c>
      <c r="H449" s="221"/>
    </row>
    <row r="450" spans="2:8" x14ac:dyDescent="0.25">
      <c r="B450" s="221">
        <v>111</v>
      </c>
      <c r="C450" s="221">
        <v>120</v>
      </c>
      <c r="D450" s="221"/>
      <c r="E450" s="221"/>
      <c r="F450" s="221"/>
      <c r="G450" s="221">
        <v>4</v>
      </c>
      <c r="H450" s="221"/>
    </row>
    <row r="451" spans="2:8" x14ac:dyDescent="0.25">
      <c r="B451" s="218"/>
      <c r="C451" s="218"/>
      <c r="D451" s="218"/>
      <c r="E451" s="218"/>
      <c r="F451" s="218"/>
      <c r="G451" s="218"/>
      <c r="H451" s="218"/>
    </row>
    <row r="452" spans="2:8" x14ac:dyDescent="0.25">
      <c r="B452" s="386" t="s">
        <v>328</v>
      </c>
      <c r="C452" s="386"/>
      <c r="D452" s="386"/>
      <c r="E452" s="386"/>
      <c r="F452" s="386"/>
      <c r="G452" s="221"/>
      <c r="H452" s="221"/>
    </row>
    <row r="453" spans="2:8" x14ac:dyDescent="0.25">
      <c r="B453" s="386" t="s">
        <v>254</v>
      </c>
      <c r="C453" s="386"/>
      <c r="D453" s="386" t="s">
        <v>254</v>
      </c>
      <c r="E453" s="386"/>
      <c r="F453" s="192" t="s">
        <v>313</v>
      </c>
      <c r="G453" s="221" t="s">
        <v>314</v>
      </c>
      <c r="H453" s="221" t="s">
        <v>316</v>
      </c>
    </row>
    <row r="454" spans="2:8" x14ac:dyDescent="0.25">
      <c r="B454" s="221">
        <v>0</v>
      </c>
      <c r="C454" s="221">
        <v>10</v>
      </c>
      <c r="D454" s="221"/>
      <c r="E454" s="221"/>
      <c r="F454" s="221">
        <v>0</v>
      </c>
      <c r="G454" s="221">
        <v>2</v>
      </c>
      <c r="H454" s="221">
        <f>(F454*G454+F455*G455+F456*G456+F457*G457+F458*G458+F459*G459+F460*G460)/100</f>
        <v>3.14</v>
      </c>
    </row>
    <row r="455" spans="2:8" x14ac:dyDescent="0.25">
      <c r="B455" s="221">
        <v>11</v>
      </c>
      <c r="C455" s="221">
        <v>25</v>
      </c>
      <c r="D455" s="221">
        <v>11</v>
      </c>
      <c r="E455" s="221">
        <v>25</v>
      </c>
      <c r="F455" s="221">
        <f t="shared" ref="F455:F460" si="53">E455-D455+1</f>
        <v>15</v>
      </c>
      <c r="G455" s="221">
        <v>2.5</v>
      </c>
      <c r="H455" s="221"/>
    </row>
    <row r="456" spans="2:8" x14ac:dyDescent="0.25">
      <c r="B456" s="221">
        <v>26</v>
      </c>
      <c r="C456" s="221">
        <v>55</v>
      </c>
      <c r="D456" s="221">
        <v>26</v>
      </c>
      <c r="E456" s="221">
        <v>55</v>
      </c>
      <c r="F456" s="221">
        <f t="shared" si="53"/>
        <v>30</v>
      </c>
      <c r="G456" s="221">
        <v>3</v>
      </c>
      <c r="H456" s="221"/>
    </row>
    <row r="457" spans="2:8" x14ac:dyDescent="0.25">
      <c r="B457" s="221">
        <v>56</v>
      </c>
      <c r="C457" s="221">
        <v>85</v>
      </c>
      <c r="D457" s="221">
        <v>56</v>
      </c>
      <c r="E457" s="221">
        <v>85</v>
      </c>
      <c r="F457" s="221">
        <f t="shared" si="53"/>
        <v>30</v>
      </c>
      <c r="G457" s="221">
        <v>3</v>
      </c>
      <c r="H457" s="221"/>
    </row>
    <row r="458" spans="2:8" x14ac:dyDescent="0.25">
      <c r="B458" s="221">
        <v>86</v>
      </c>
      <c r="C458" s="221">
        <v>100</v>
      </c>
      <c r="D458" s="221">
        <v>86</v>
      </c>
      <c r="E458" s="221">
        <v>100</v>
      </c>
      <c r="F458" s="221">
        <f t="shared" si="53"/>
        <v>15</v>
      </c>
      <c r="G458" s="221">
        <v>3.5</v>
      </c>
      <c r="H458" s="221"/>
    </row>
    <row r="459" spans="2:8" x14ac:dyDescent="0.25">
      <c r="B459" s="221">
        <v>101</v>
      </c>
      <c r="C459" s="221">
        <v>110</v>
      </c>
      <c r="D459" s="221">
        <v>101</v>
      </c>
      <c r="E459" s="221">
        <v>110</v>
      </c>
      <c r="F459" s="221">
        <f t="shared" si="53"/>
        <v>10</v>
      </c>
      <c r="G459" s="221">
        <v>4</v>
      </c>
      <c r="H459" s="221"/>
    </row>
    <row r="460" spans="2:8" x14ac:dyDescent="0.25">
      <c r="B460" s="221">
        <v>111</v>
      </c>
      <c r="C460" s="221">
        <v>120</v>
      </c>
      <c r="D460" s="221">
        <v>111</v>
      </c>
      <c r="E460" s="221">
        <v>111</v>
      </c>
      <c r="F460" s="221">
        <f t="shared" si="53"/>
        <v>1</v>
      </c>
      <c r="G460" s="221">
        <v>4</v>
      </c>
      <c r="H460" s="221"/>
    </row>
    <row r="461" spans="2:8" x14ac:dyDescent="0.25">
      <c r="B461" s="218"/>
      <c r="C461" s="218"/>
      <c r="D461" s="218"/>
      <c r="E461" s="218"/>
      <c r="F461" s="218"/>
      <c r="G461" s="218"/>
      <c r="H461" s="218"/>
    </row>
    <row r="462" spans="2:8" x14ac:dyDescent="0.25">
      <c r="B462" s="386" t="s">
        <v>329</v>
      </c>
      <c r="C462" s="386"/>
      <c r="D462" s="386"/>
      <c r="E462" s="386"/>
      <c r="F462" s="386"/>
      <c r="G462" s="221"/>
      <c r="H462" s="221"/>
    </row>
    <row r="463" spans="2:8" x14ac:dyDescent="0.25">
      <c r="B463" s="386" t="s">
        <v>254</v>
      </c>
      <c r="C463" s="386"/>
      <c r="D463" s="386" t="s">
        <v>254</v>
      </c>
      <c r="E463" s="386"/>
      <c r="F463" s="192" t="s">
        <v>313</v>
      </c>
      <c r="G463" s="221" t="s">
        <v>314</v>
      </c>
      <c r="H463" s="221" t="s">
        <v>316</v>
      </c>
    </row>
    <row r="464" spans="2:8" x14ac:dyDescent="0.25">
      <c r="B464" s="221">
        <v>0</v>
      </c>
      <c r="C464" s="221">
        <v>10</v>
      </c>
      <c r="D464" s="221"/>
      <c r="E464" s="221"/>
      <c r="F464" s="221">
        <v>0</v>
      </c>
      <c r="G464" s="221">
        <v>2</v>
      </c>
      <c r="H464" s="221">
        <f>(F464*G464+F465*G465+F466*G466+F467*G467+F468*G468+F469*G469+F470*G470)/100</f>
        <v>3.1549999999999998</v>
      </c>
    </row>
    <row r="465" spans="2:8" x14ac:dyDescent="0.25">
      <c r="B465" s="221">
        <v>11</v>
      </c>
      <c r="C465" s="221">
        <v>25</v>
      </c>
      <c r="D465" s="221">
        <v>12</v>
      </c>
      <c r="E465" s="221">
        <v>25</v>
      </c>
      <c r="F465" s="221">
        <f t="shared" ref="F465:F470" si="54">E465-D465+1</f>
        <v>14</v>
      </c>
      <c r="G465" s="221">
        <v>2.5</v>
      </c>
      <c r="H465" s="221"/>
    </row>
    <row r="466" spans="2:8" x14ac:dyDescent="0.25">
      <c r="B466" s="221">
        <v>26</v>
      </c>
      <c r="C466" s="221">
        <v>55</v>
      </c>
      <c r="D466" s="221">
        <v>26</v>
      </c>
      <c r="E466" s="221">
        <v>55</v>
      </c>
      <c r="F466" s="221">
        <f t="shared" si="54"/>
        <v>30</v>
      </c>
      <c r="G466" s="221">
        <v>3</v>
      </c>
      <c r="H466" s="221"/>
    </row>
    <row r="467" spans="2:8" x14ac:dyDescent="0.25">
      <c r="B467" s="221">
        <v>56</v>
      </c>
      <c r="C467" s="221">
        <v>85</v>
      </c>
      <c r="D467" s="221">
        <v>56</v>
      </c>
      <c r="E467" s="221">
        <v>85</v>
      </c>
      <c r="F467" s="221">
        <f t="shared" si="54"/>
        <v>30</v>
      </c>
      <c r="G467" s="221">
        <v>3</v>
      </c>
      <c r="H467" s="221"/>
    </row>
    <row r="468" spans="2:8" x14ac:dyDescent="0.25">
      <c r="B468" s="221">
        <v>86</v>
      </c>
      <c r="C468" s="221">
        <v>100</v>
      </c>
      <c r="D468" s="221">
        <v>86</v>
      </c>
      <c r="E468" s="221">
        <v>100</v>
      </c>
      <c r="F468" s="221">
        <f t="shared" si="54"/>
        <v>15</v>
      </c>
      <c r="G468" s="221">
        <v>3.5</v>
      </c>
      <c r="H468" s="221"/>
    </row>
    <row r="469" spans="2:8" x14ac:dyDescent="0.25">
      <c r="B469" s="221">
        <v>101</v>
      </c>
      <c r="C469" s="221">
        <v>110</v>
      </c>
      <c r="D469" s="221">
        <v>101</v>
      </c>
      <c r="E469" s="221">
        <v>110</v>
      </c>
      <c r="F469" s="221">
        <f t="shared" si="54"/>
        <v>10</v>
      </c>
      <c r="G469" s="221">
        <v>4</v>
      </c>
      <c r="H469" s="221"/>
    </row>
    <row r="470" spans="2:8" x14ac:dyDescent="0.25">
      <c r="B470" s="221">
        <v>111</v>
      </c>
      <c r="C470" s="221">
        <v>120</v>
      </c>
      <c r="D470" s="221">
        <v>111</v>
      </c>
      <c r="E470" s="221">
        <v>112</v>
      </c>
      <c r="F470" s="221">
        <f t="shared" si="54"/>
        <v>2</v>
      </c>
      <c r="G470" s="221">
        <v>4</v>
      </c>
      <c r="H470" s="221"/>
    </row>
    <row r="471" spans="2:8" x14ac:dyDescent="0.25">
      <c r="B471" s="218"/>
      <c r="C471" s="218"/>
      <c r="D471" s="218"/>
      <c r="E471" s="218"/>
      <c r="F471" s="218"/>
      <c r="G471" s="218"/>
      <c r="H471" s="218"/>
    </row>
    <row r="472" spans="2:8" x14ac:dyDescent="0.25">
      <c r="B472" s="386" t="s">
        <v>330</v>
      </c>
      <c r="C472" s="386"/>
      <c r="D472" s="386"/>
      <c r="E472" s="386"/>
      <c r="F472" s="386"/>
      <c r="G472" s="221"/>
      <c r="H472" s="221"/>
    </row>
    <row r="473" spans="2:8" x14ac:dyDescent="0.25">
      <c r="B473" s="386" t="s">
        <v>254</v>
      </c>
      <c r="C473" s="386"/>
      <c r="D473" s="386" t="s">
        <v>254</v>
      </c>
      <c r="E473" s="386"/>
      <c r="F473" s="192" t="s">
        <v>313</v>
      </c>
      <c r="G473" s="221" t="s">
        <v>314</v>
      </c>
      <c r="H473" s="221" t="s">
        <v>316</v>
      </c>
    </row>
    <row r="474" spans="2:8" x14ac:dyDescent="0.25">
      <c r="B474" s="221">
        <v>0</v>
      </c>
      <c r="C474" s="221">
        <v>10</v>
      </c>
      <c r="D474" s="221"/>
      <c r="E474" s="221"/>
      <c r="F474" s="221">
        <v>0</v>
      </c>
      <c r="G474" s="221">
        <v>2</v>
      </c>
      <c r="H474" s="221">
        <f>(F474*G474+F475*G475+F476*G476+F477*G477+F478*G478+F479*G479+F480*G480)/100</f>
        <v>3.17</v>
      </c>
    </row>
    <row r="475" spans="2:8" x14ac:dyDescent="0.25">
      <c r="B475" s="221">
        <v>11</v>
      </c>
      <c r="C475" s="221">
        <v>25</v>
      </c>
      <c r="D475" s="221">
        <v>13</v>
      </c>
      <c r="E475" s="221">
        <v>25</v>
      </c>
      <c r="F475" s="221">
        <f t="shared" ref="F475:F480" si="55">E475-D475+1</f>
        <v>13</v>
      </c>
      <c r="G475" s="221">
        <v>2.5</v>
      </c>
      <c r="H475" s="221"/>
    </row>
    <row r="476" spans="2:8" x14ac:dyDescent="0.25">
      <c r="B476" s="221">
        <v>26</v>
      </c>
      <c r="C476" s="221">
        <v>55</v>
      </c>
      <c r="D476" s="221">
        <v>26</v>
      </c>
      <c r="E476" s="221">
        <v>55</v>
      </c>
      <c r="F476" s="221">
        <f t="shared" si="55"/>
        <v>30</v>
      </c>
      <c r="G476" s="221">
        <v>3</v>
      </c>
      <c r="H476" s="221"/>
    </row>
    <row r="477" spans="2:8" x14ac:dyDescent="0.25">
      <c r="B477" s="221">
        <v>56</v>
      </c>
      <c r="C477" s="221">
        <v>85</v>
      </c>
      <c r="D477" s="221">
        <v>56</v>
      </c>
      <c r="E477" s="221">
        <v>85</v>
      </c>
      <c r="F477" s="221">
        <f t="shared" si="55"/>
        <v>30</v>
      </c>
      <c r="G477" s="221">
        <v>3</v>
      </c>
      <c r="H477" s="221"/>
    </row>
    <row r="478" spans="2:8" x14ac:dyDescent="0.25">
      <c r="B478" s="221">
        <v>86</v>
      </c>
      <c r="C478" s="221">
        <v>100</v>
      </c>
      <c r="D478" s="221">
        <v>86</v>
      </c>
      <c r="E478" s="221">
        <v>100</v>
      </c>
      <c r="F478" s="221">
        <f t="shared" si="55"/>
        <v>15</v>
      </c>
      <c r="G478" s="221">
        <v>3.5</v>
      </c>
      <c r="H478" s="221"/>
    </row>
    <row r="479" spans="2:8" x14ac:dyDescent="0.25">
      <c r="B479" s="221">
        <v>101</v>
      </c>
      <c r="C479" s="221">
        <v>110</v>
      </c>
      <c r="D479" s="221">
        <v>101</v>
      </c>
      <c r="E479" s="221">
        <v>110</v>
      </c>
      <c r="F479" s="221">
        <f t="shared" si="55"/>
        <v>10</v>
      </c>
      <c r="G479" s="221">
        <v>4</v>
      </c>
      <c r="H479" s="221"/>
    </row>
    <row r="480" spans="2:8" x14ac:dyDescent="0.25">
      <c r="B480" s="221">
        <v>111</v>
      </c>
      <c r="C480" s="221">
        <v>120</v>
      </c>
      <c r="D480" s="221">
        <v>111</v>
      </c>
      <c r="E480" s="221">
        <v>113</v>
      </c>
      <c r="F480" s="221">
        <f t="shared" si="55"/>
        <v>3</v>
      </c>
      <c r="G480" s="221">
        <v>4</v>
      </c>
      <c r="H480" s="221"/>
    </row>
    <row r="481" spans="2:8" x14ac:dyDescent="0.25">
      <c r="B481" s="218"/>
      <c r="C481" s="218"/>
      <c r="D481" s="218"/>
      <c r="E481" s="218"/>
      <c r="F481" s="218"/>
      <c r="G481" s="218"/>
      <c r="H481" s="218"/>
    </row>
    <row r="482" spans="2:8" x14ac:dyDescent="0.25">
      <c r="B482" s="386" t="s">
        <v>331</v>
      </c>
      <c r="C482" s="386"/>
      <c r="D482" s="386"/>
      <c r="E482" s="386"/>
      <c r="F482" s="386"/>
      <c r="G482" s="221"/>
      <c r="H482" s="221"/>
    </row>
    <row r="483" spans="2:8" x14ac:dyDescent="0.25">
      <c r="B483" s="386" t="s">
        <v>254</v>
      </c>
      <c r="C483" s="386"/>
      <c r="D483" s="386" t="s">
        <v>254</v>
      </c>
      <c r="E483" s="386"/>
      <c r="F483" s="192" t="s">
        <v>313</v>
      </c>
      <c r="G483" s="221" t="s">
        <v>314</v>
      </c>
      <c r="H483" s="221" t="s">
        <v>316</v>
      </c>
    </row>
    <row r="484" spans="2:8" x14ac:dyDescent="0.25">
      <c r="B484" s="221">
        <v>0</v>
      </c>
      <c r="C484" s="221">
        <v>10</v>
      </c>
      <c r="D484" s="221"/>
      <c r="E484" s="221"/>
      <c r="F484" s="221">
        <v>0</v>
      </c>
      <c r="G484" s="221">
        <v>2</v>
      </c>
      <c r="H484" s="221">
        <f>(F484*G484+F485*G485+F486*G486+F487*G487+F488*G488+F489*G489+F490*G490)/100</f>
        <v>3.1850000000000001</v>
      </c>
    </row>
    <row r="485" spans="2:8" x14ac:dyDescent="0.25">
      <c r="B485" s="221">
        <v>11</v>
      </c>
      <c r="C485" s="221">
        <v>25</v>
      </c>
      <c r="D485" s="221">
        <v>14</v>
      </c>
      <c r="E485" s="221">
        <v>25</v>
      </c>
      <c r="F485" s="221">
        <f t="shared" ref="F485:F490" si="56">E485-D485+1</f>
        <v>12</v>
      </c>
      <c r="G485" s="221">
        <v>2.5</v>
      </c>
      <c r="H485" s="221"/>
    </row>
    <row r="486" spans="2:8" x14ac:dyDescent="0.25">
      <c r="B486" s="221">
        <v>26</v>
      </c>
      <c r="C486" s="221">
        <v>55</v>
      </c>
      <c r="D486" s="221">
        <v>26</v>
      </c>
      <c r="E486" s="221">
        <v>55</v>
      </c>
      <c r="F486" s="221">
        <f t="shared" si="56"/>
        <v>30</v>
      </c>
      <c r="G486" s="221">
        <v>3</v>
      </c>
      <c r="H486" s="221"/>
    </row>
    <row r="487" spans="2:8" x14ac:dyDescent="0.25">
      <c r="B487" s="221">
        <v>56</v>
      </c>
      <c r="C487" s="221">
        <v>85</v>
      </c>
      <c r="D487" s="221">
        <v>56</v>
      </c>
      <c r="E487" s="221">
        <v>85</v>
      </c>
      <c r="F487" s="221">
        <f t="shared" si="56"/>
        <v>30</v>
      </c>
      <c r="G487" s="221">
        <v>3</v>
      </c>
      <c r="H487" s="221"/>
    </row>
    <row r="488" spans="2:8" x14ac:dyDescent="0.25">
      <c r="B488" s="221">
        <v>86</v>
      </c>
      <c r="C488" s="221">
        <v>100</v>
      </c>
      <c r="D488" s="221">
        <v>86</v>
      </c>
      <c r="E488" s="221">
        <v>100</v>
      </c>
      <c r="F488" s="221">
        <f t="shared" si="56"/>
        <v>15</v>
      </c>
      <c r="G488" s="221">
        <v>3.5</v>
      </c>
      <c r="H488" s="221"/>
    </row>
    <row r="489" spans="2:8" x14ac:dyDescent="0.25">
      <c r="B489" s="221">
        <v>101</v>
      </c>
      <c r="C489" s="221">
        <v>110</v>
      </c>
      <c r="D489" s="221">
        <v>101</v>
      </c>
      <c r="E489" s="221">
        <v>110</v>
      </c>
      <c r="F489" s="221">
        <f t="shared" si="56"/>
        <v>10</v>
      </c>
      <c r="G489" s="221">
        <v>4</v>
      </c>
      <c r="H489" s="221"/>
    </row>
    <row r="490" spans="2:8" x14ac:dyDescent="0.25">
      <c r="B490" s="221">
        <v>111</v>
      </c>
      <c r="C490" s="221">
        <v>120</v>
      </c>
      <c r="D490" s="221">
        <v>111</v>
      </c>
      <c r="E490" s="221">
        <v>114</v>
      </c>
      <c r="F490" s="221">
        <f t="shared" si="56"/>
        <v>4</v>
      </c>
      <c r="G490" s="221">
        <v>4</v>
      </c>
      <c r="H490" s="221"/>
    </row>
    <row r="491" spans="2:8" x14ac:dyDescent="0.25">
      <c r="B491" s="218"/>
      <c r="C491" s="218"/>
      <c r="D491" s="218"/>
      <c r="E491" s="218"/>
      <c r="F491" s="218"/>
      <c r="G491" s="218"/>
      <c r="H491" s="218"/>
    </row>
    <row r="492" spans="2:8" x14ac:dyDescent="0.25">
      <c r="B492" s="386" t="s">
        <v>332</v>
      </c>
      <c r="C492" s="386"/>
      <c r="D492" s="386"/>
      <c r="E492" s="386"/>
      <c r="F492" s="386"/>
      <c r="G492" s="221"/>
      <c r="H492" s="221"/>
    </row>
    <row r="493" spans="2:8" x14ac:dyDescent="0.25">
      <c r="B493" s="386" t="s">
        <v>254</v>
      </c>
      <c r="C493" s="386"/>
      <c r="D493" s="386" t="s">
        <v>254</v>
      </c>
      <c r="E493" s="386"/>
      <c r="F493" s="192" t="s">
        <v>313</v>
      </c>
      <c r="G493" s="221" t="s">
        <v>314</v>
      </c>
      <c r="H493" s="221" t="s">
        <v>316</v>
      </c>
    </row>
    <row r="494" spans="2:8" x14ac:dyDescent="0.25">
      <c r="B494" s="221">
        <v>0</v>
      </c>
      <c r="C494" s="221">
        <v>10</v>
      </c>
      <c r="D494" s="221"/>
      <c r="E494" s="221"/>
      <c r="F494" s="221">
        <v>0</v>
      </c>
      <c r="G494" s="221">
        <v>2</v>
      </c>
      <c r="H494" s="221">
        <f>(F494*G494+F495*G495+F496*G496+F497*G497+F498*G498+F499*G499+F500*G500)/100</f>
        <v>3.2</v>
      </c>
    </row>
    <row r="495" spans="2:8" x14ac:dyDescent="0.25">
      <c r="B495" s="221">
        <v>11</v>
      </c>
      <c r="C495" s="221">
        <v>25</v>
      </c>
      <c r="D495" s="221">
        <v>15</v>
      </c>
      <c r="E495" s="221">
        <v>25</v>
      </c>
      <c r="F495" s="221">
        <f t="shared" ref="F495:F500" si="57">E495-D495+1</f>
        <v>11</v>
      </c>
      <c r="G495" s="221">
        <v>2.5</v>
      </c>
      <c r="H495" s="221"/>
    </row>
    <row r="496" spans="2:8" x14ac:dyDescent="0.25">
      <c r="B496" s="221">
        <v>26</v>
      </c>
      <c r="C496" s="221">
        <v>55</v>
      </c>
      <c r="D496" s="221">
        <v>26</v>
      </c>
      <c r="E496" s="221">
        <v>55</v>
      </c>
      <c r="F496" s="221">
        <f t="shared" si="57"/>
        <v>30</v>
      </c>
      <c r="G496" s="221">
        <v>3</v>
      </c>
      <c r="H496" s="221"/>
    </row>
    <row r="497" spans="2:8" x14ac:dyDescent="0.25">
      <c r="B497" s="221">
        <v>56</v>
      </c>
      <c r="C497" s="221">
        <v>85</v>
      </c>
      <c r="D497" s="221">
        <v>56</v>
      </c>
      <c r="E497" s="221">
        <v>85</v>
      </c>
      <c r="F497" s="221">
        <f t="shared" si="57"/>
        <v>30</v>
      </c>
      <c r="G497" s="221">
        <v>3</v>
      </c>
      <c r="H497" s="221"/>
    </row>
    <row r="498" spans="2:8" x14ac:dyDescent="0.25">
      <c r="B498" s="221">
        <v>86</v>
      </c>
      <c r="C498" s="221">
        <v>100</v>
      </c>
      <c r="D498" s="221">
        <v>86</v>
      </c>
      <c r="E498" s="221">
        <v>100</v>
      </c>
      <c r="F498" s="221">
        <f t="shared" si="57"/>
        <v>15</v>
      </c>
      <c r="G498" s="221">
        <v>3.5</v>
      </c>
      <c r="H498" s="221"/>
    </row>
    <row r="499" spans="2:8" x14ac:dyDescent="0.25">
      <c r="B499" s="221">
        <v>101</v>
      </c>
      <c r="C499" s="221">
        <v>110</v>
      </c>
      <c r="D499" s="221">
        <v>101</v>
      </c>
      <c r="E499" s="221">
        <v>110</v>
      </c>
      <c r="F499" s="221">
        <f t="shared" si="57"/>
        <v>10</v>
      </c>
      <c r="G499" s="221">
        <v>4</v>
      </c>
      <c r="H499" s="221"/>
    </row>
    <row r="500" spans="2:8" x14ac:dyDescent="0.25">
      <c r="B500" s="221">
        <v>111</v>
      </c>
      <c r="C500" s="221">
        <v>120</v>
      </c>
      <c r="D500" s="221">
        <v>111</v>
      </c>
      <c r="E500" s="221">
        <v>115</v>
      </c>
      <c r="F500" s="221">
        <f t="shared" si="57"/>
        <v>5</v>
      </c>
      <c r="G500" s="221">
        <v>4</v>
      </c>
      <c r="H500" s="221"/>
    </row>
    <row r="501" spans="2:8" x14ac:dyDescent="0.25">
      <c r="B501" s="218"/>
      <c r="C501" s="218"/>
      <c r="D501" s="218"/>
      <c r="E501" s="218"/>
      <c r="F501" s="218"/>
      <c r="G501" s="218"/>
      <c r="H501" s="218"/>
    </row>
    <row r="502" spans="2:8" x14ac:dyDescent="0.25">
      <c r="B502" s="386" t="s">
        <v>333</v>
      </c>
      <c r="C502" s="386"/>
      <c r="D502" s="386"/>
      <c r="E502" s="386"/>
      <c r="F502" s="386"/>
      <c r="G502" s="221"/>
      <c r="H502" s="221"/>
    </row>
    <row r="503" spans="2:8" x14ac:dyDescent="0.25">
      <c r="B503" s="386" t="s">
        <v>254</v>
      </c>
      <c r="C503" s="386"/>
      <c r="D503" s="386" t="s">
        <v>254</v>
      </c>
      <c r="E503" s="386"/>
      <c r="F503" s="192" t="s">
        <v>313</v>
      </c>
      <c r="G503" s="221" t="s">
        <v>314</v>
      </c>
      <c r="H503" s="221" t="s">
        <v>316</v>
      </c>
    </row>
    <row r="504" spans="2:8" x14ac:dyDescent="0.25">
      <c r="B504" s="221">
        <v>0</v>
      </c>
      <c r="C504" s="221">
        <v>10</v>
      </c>
      <c r="D504" s="221"/>
      <c r="E504" s="221"/>
      <c r="F504" s="221">
        <v>0</v>
      </c>
      <c r="G504" s="221">
        <v>2</v>
      </c>
      <c r="H504" s="221">
        <f>(F504*G504+F505*G505+F506*G506+F507*G507+F508*G508+F509*G509+F510*G510)/100</f>
        <v>3.2149999999999999</v>
      </c>
    </row>
    <row r="505" spans="2:8" x14ac:dyDescent="0.25">
      <c r="B505" s="221">
        <v>11</v>
      </c>
      <c r="C505" s="221">
        <v>25</v>
      </c>
      <c r="D505" s="221">
        <v>16</v>
      </c>
      <c r="E505" s="221">
        <v>25</v>
      </c>
      <c r="F505" s="221">
        <f t="shared" ref="F505:F510" si="58">E505-D505+1</f>
        <v>10</v>
      </c>
      <c r="G505" s="221">
        <v>2.5</v>
      </c>
      <c r="H505" s="221"/>
    </row>
    <row r="506" spans="2:8" x14ac:dyDescent="0.25">
      <c r="B506" s="221">
        <v>26</v>
      </c>
      <c r="C506" s="221">
        <v>55</v>
      </c>
      <c r="D506" s="221">
        <v>26</v>
      </c>
      <c r="E506" s="221">
        <v>55</v>
      </c>
      <c r="F506" s="221">
        <f t="shared" si="58"/>
        <v>30</v>
      </c>
      <c r="G506" s="221">
        <v>3</v>
      </c>
      <c r="H506" s="221"/>
    </row>
    <row r="507" spans="2:8" x14ac:dyDescent="0.25">
      <c r="B507" s="221">
        <v>56</v>
      </c>
      <c r="C507" s="221">
        <v>85</v>
      </c>
      <c r="D507" s="221">
        <v>56</v>
      </c>
      <c r="E507" s="221">
        <v>85</v>
      </c>
      <c r="F507" s="221">
        <f t="shared" si="58"/>
        <v>30</v>
      </c>
      <c r="G507" s="221">
        <v>3</v>
      </c>
      <c r="H507" s="221"/>
    </row>
    <row r="508" spans="2:8" x14ac:dyDescent="0.25">
      <c r="B508" s="221">
        <v>86</v>
      </c>
      <c r="C508" s="221">
        <v>100</v>
      </c>
      <c r="D508" s="221">
        <v>86</v>
      </c>
      <c r="E508" s="221">
        <v>100</v>
      </c>
      <c r="F508" s="221">
        <f t="shared" si="58"/>
        <v>15</v>
      </c>
      <c r="G508" s="221">
        <v>3.5</v>
      </c>
      <c r="H508" s="221"/>
    </row>
    <row r="509" spans="2:8" x14ac:dyDescent="0.25">
      <c r="B509" s="221">
        <v>101</v>
      </c>
      <c r="C509" s="221">
        <v>110</v>
      </c>
      <c r="D509" s="221">
        <v>101</v>
      </c>
      <c r="E509" s="221">
        <v>110</v>
      </c>
      <c r="F509" s="221">
        <f t="shared" si="58"/>
        <v>10</v>
      </c>
      <c r="G509" s="221">
        <v>4</v>
      </c>
      <c r="H509" s="221"/>
    </row>
    <row r="510" spans="2:8" x14ac:dyDescent="0.25">
      <c r="B510" s="221">
        <v>111</v>
      </c>
      <c r="C510" s="221">
        <v>120</v>
      </c>
      <c r="D510" s="221">
        <v>111</v>
      </c>
      <c r="E510" s="221">
        <v>116</v>
      </c>
      <c r="F510" s="221">
        <f t="shared" si="58"/>
        <v>6</v>
      </c>
      <c r="G510" s="221">
        <v>4</v>
      </c>
      <c r="H510" s="221"/>
    </row>
    <row r="511" spans="2:8" x14ac:dyDescent="0.25">
      <c r="B511" s="218"/>
      <c r="C511" s="218"/>
      <c r="D511" s="218"/>
      <c r="E511" s="218"/>
      <c r="F511" s="218"/>
      <c r="G511" s="218"/>
      <c r="H511" s="218"/>
    </row>
    <row r="512" spans="2:8" x14ac:dyDescent="0.25">
      <c r="B512" s="386" t="s">
        <v>334</v>
      </c>
      <c r="C512" s="386"/>
      <c r="D512" s="386"/>
      <c r="E512" s="386"/>
      <c r="F512" s="386"/>
      <c r="G512" s="221"/>
      <c r="H512" s="221"/>
    </row>
    <row r="513" spans="2:8" x14ac:dyDescent="0.25">
      <c r="B513" s="386" t="s">
        <v>254</v>
      </c>
      <c r="C513" s="386"/>
      <c r="D513" s="386" t="s">
        <v>254</v>
      </c>
      <c r="E513" s="386"/>
      <c r="F513" s="192" t="s">
        <v>313</v>
      </c>
      <c r="G513" s="221" t="s">
        <v>314</v>
      </c>
      <c r="H513" s="221" t="s">
        <v>316</v>
      </c>
    </row>
    <row r="514" spans="2:8" x14ac:dyDescent="0.25">
      <c r="B514" s="221">
        <v>0</v>
      </c>
      <c r="C514" s="221">
        <v>10</v>
      </c>
      <c r="D514" s="221"/>
      <c r="E514" s="221"/>
      <c r="F514" s="221">
        <v>0</v>
      </c>
      <c r="G514" s="221">
        <v>2</v>
      </c>
      <c r="H514" s="221">
        <f>(F514*G514+F515*G515+F516*G516+F517*G517+F518*G518+F519*G519+F520*G520)/100</f>
        <v>3.23</v>
      </c>
    </row>
    <row r="515" spans="2:8" x14ac:dyDescent="0.25">
      <c r="B515" s="221">
        <v>11</v>
      </c>
      <c r="C515" s="221">
        <v>25</v>
      </c>
      <c r="D515" s="221">
        <v>17</v>
      </c>
      <c r="E515" s="221">
        <v>25</v>
      </c>
      <c r="F515" s="221">
        <f t="shared" ref="F515:F520" si="59">E515-D515+1</f>
        <v>9</v>
      </c>
      <c r="G515" s="221">
        <v>2.5</v>
      </c>
      <c r="H515" s="221"/>
    </row>
    <row r="516" spans="2:8" x14ac:dyDescent="0.25">
      <c r="B516" s="221">
        <v>26</v>
      </c>
      <c r="C516" s="221">
        <v>55</v>
      </c>
      <c r="D516" s="221">
        <v>26</v>
      </c>
      <c r="E516" s="221">
        <v>55</v>
      </c>
      <c r="F516" s="221">
        <f t="shared" si="59"/>
        <v>30</v>
      </c>
      <c r="G516" s="221">
        <v>3</v>
      </c>
      <c r="H516" s="221"/>
    </row>
    <row r="517" spans="2:8" x14ac:dyDescent="0.25">
      <c r="B517" s="221">
        <v>56</v>
      </c>
      <c r="C517" s="221">
        <v>85</v>
      </c>
      <c r="D517" s="221">
        <v>56</v>
      </c>
      <c r="E517" s="221">
        <v>85</v>
      </c>
      <c r="F517" s="221">
        <f t="shared" si="59"/>
        <v>30</v>
      </c>
      <c r="G517" s="221">
        <v>3</v>
      </c>
      <c r="H517" s="221"/>
    </row>
    <row r="518" spans="2:8" x14ac:dyDescent="0.25">
      <c r="B518" s="221">
        <v>86</v>
      </c>
      <c r="C518" s="221">
        <v>100</v>
      </c>
      <c r="D518" s="221">
        <v>86</v>
      </c>
      <c r="E518" s="221">
        <v>100</v>
      </c>
      <c r="F518" s="221">
        <f t="shared" si="59"/>
        <v>15</v>
      </c>
      <c r="G518" s="221">
        <v>3.5</v>
      </c>
      <c r="H518" s="221"/>
    </row>
    <row r="519" spans="2:8" x14ac:dyDescent="0.25">
      <c r="B519" s="221">
        <v>101</v>
      </c>
      <c r="C519" s="221">
        <v>110</v>
      </c>
      <c r="D519" s="221">
        <v>101</v>
      </c>
      <c r="E519" s="221">
        <v>110</v>
      </c>
      <c r="F519" s="221">
        <f t="shared" si="59"/>
        <v>10</v>
      </c>
      <c r="G519" s="221">
        <v>4</v>
      </c>
      <c r="H519" s="221"/>
    </row>
    <row r="520" spans="2:8" x14ac:dyDescent="0.25">
      <c r="B520" s="221">
        <v>111</v>
      </c>
      <c r="C520" s="221">
        <v>120</v>
      </c>
      <c r="D520" s="221">
        <v>111</v>
      </c>
      <c r="E520" s="221">
        <v>117</v>
      </c>
      <c r="F520" s="221">
        <f t="shared" si="59"/>
        <v>7</v>
      </c>
      <c r="G520" s="221">
        <v>4</v>
      </c>
      <c r="H520" s="221"/>
    </row>
    <row r="521" spans="2:8" x14ac:dyDescent="0.25">
      <c r="B521" s="218"/>
      <c r="C521" s="218"/>
      <c r="D521" s="218"/>
      <c r="E521" s="218"/>
      <c r="F521" s="218"/>
      <c r="G521" s="218"/>
      <c r="H521" s="218"/>
    </row>
    <row r="522" spans="2:8" x14ac:dyDescent="0.25">
      <c r="B522" s="386" t="s">
        <v>335</v>
      </c>
      <c r="C522" s="386"/>
      <c r="D522" s="386"/>
      <c r="E522" s="386"/>
      <c r="F522" s="386"/>
      <c r="G522" s="221"/>
      <c r="H522" s="221"/>
    </row>
    <row r="523" spans="2:8" x14ac:dyDescent="0.25">
      <c r="B523" s="386" t="s">
        <v>254</v>
      </c>
      <c r="C523" s="386"/>
      <c r="D523" s="386" t="s">
        <v>254</v>
      </c>
      <c r="E523" s="386"/>
      <c r="F523" s="192" t="s">
        <v>313</v>
      </c>
      <c r="G523" s="221" t="s">
        <v>314</v>
      </c>
      <c r="H523" s="221" t="s">
        <v>316</v>
      </c>
    </row>
    <row r="524" spans="2:8" x14ac:dyDescent="0.25">
      <c r="B524" s="221">
        <v>0</v>
      </c>
      <c r="C524" s="221">
        <v>10</v>
      </c>
      <c r="D524" s="221"/>
      <c r="E524" s="221"/>
      <c r="F524" s="221">
        <v>0</v>
      </c>
      <c r="G524" s="221">
        <v>2</v>
      </c>
      <c r="H524" s="221">
        <f>(F524*G524+F525*G525+F526*G526+F527*G527+F528*G528+F529*G529+F530*G530)/100</f>
        <v>3.2450000000000001</v>
      </c>
    </row>
    <row r="525" spans="2:8" x14ac:dyDescent="0.25">
      <c r="B525" s="221">
        <v>11</v>
      </c>
      <c r="C525" s="221">
        <v>25</v>
      </c>
      <c r="D525" s="221">
        <v>18</v>
      </c>
      <c r="E525" s="221">
        <v>25</v>
      </c>
      <c r="F525" s="221">
        <f t="shared" ref="F525:F530" si="60">E525-D525+1</f>
        <v>8</v>
      </c>
      <c r="G525" s="221">
        <v>2.5</v>
      </c>
      <c r="H525" s="221"/>
    </row>
    <row r="526" spans="2:8" x14ac:dyDescent="0.25">
      <c r="B526" s="221">
        <v>26</v>
      </c>
      <c r="C526" s="221">
        <v>55</v>
      </c>
      <c r="D526" s="221">
        <v>26</v>
      </c>
      <c r="E526" s="221">
        <v>55</v>
      </c>
      <c r="F526" s="221">
        <f t="shared" si="60"/>
        <v>30</v>
      </c>
      <c r="G526" s="221">
        <v>3</v>
      </c>
      <c r="H526" s="221"/>
    </row>
    <row r="527" spans="2:8" x14ac:dyDescent="0.25">
      <c r="B527" s="221">
        <v>56</v>
      </c>
      <c r="C527" s="221">
        <v>85</v>
      </c>
      <c r="D527" s="221">
        <v>56</v>
      </c>
      <c r="E527" s="221">
        <v>85</v>
      </c>
      <c r="F527" s="221">
        <f t="shared" si="60"/>
        <v>30</v>
      </c>
      <c r="G527" s="221">
        <v>3</v>
      </c>
      <c r="H527" s="221"/>
    </row>
    <row r="528" spans="2:8" x14ac:dyDescent="0.25">
      <c r="B528" s="221">
        <v>86</v>
      </c>
      <c r="C528" s="221">
        <v>100</v>
      </c>
      <c r="D528" s="221">
        <v>86</v>
      </c>
      <c r="E528" s="221">
        <v>100</v>
      </c>
      <c r="F528" s="221">
        <f t="shared" si="60"/>
        <v>15</v>
      </c>
      <c r="G528" s="221">
        <v>3.5</v>
      </c>
      <c r="H528" s="221"/>
    </row>
    <row r="529" spans="2:8" x14ac:dyDescent="0.25">
      <c r="B529" s="221">
        <v>101</v>
      </c>
      <c r="C529" s="221">
        <v>110</v>
      </c>
      <c r="D529" s="221">
        <v>101</v>
      </c>
      <c r="E529" s="221">
        <v>110</v>
      </c>
      <c r="F529" s="221">
        <f t="shared" si="60"/>
        <v>10</v>
      </c>
      <c r="G529" s="221">
        <v>4</v>
      </c>
      <c r="H529" s="221"/>
    </row>
    <row r="530" spans="2:8" x14ac:dyDescent="0.25">
      <c r="B530" s="221">
        <v>111</v>
      </c>
      <c r="C530" s="221">
        <v>120</v>
      </c>
      <c r="D530" s="221">
        <v>111</v>
      </c>
      <c r="E530" s="221">
        <v>118</v>
      </c>
      <c r="F530" s="221">
        <f t="shared" si="60"/>
        <v>8</v>
      </c>
      <c r="G530" s="221">
        <v>4</v>
      </c>
      <c r="H530" s="221"/>
    </row>
    <row r="531" spans="2:8" x14ac:dyDescent="0.25">
      <c r="B531" s="218"/>
      <c r="C531" s="218"/>
      <c r="D531" s="218"/>
      <c r="E531" s="218"/>
      <c r="F531" s="218"/>
      <c r="G531" s="218"/>
      <c r="H531" s="218"/>
    </row>
    <row r="532" spans="2:8" x14ac:dyDescent="0.25">
      <c r="B532" s="386" t="s">
        <v>336</v>
      </c>
      <c r="C532" s="386"/>
      <c r="D532" s="386"/>
      <c r="E532" s="386"/>
      <c r="F532" s="386"/>
      <c r="G532" s="221"/>
      <c r="H532" s="221"/>
    </row>
    <row r="533" spans="2:8" x14ac:dyDescent="0.25">
      <c r="B533" s="386" t="s">
        <v>254</v>
      </c>
      <c r="C533" s="386"/>
      <c r="D533" s="386" t="s">
        <v>254</v>
      </c>
      <c r="E533" s="386"/>
      <c r="F533" s="192" t="s">
        <v>313</v>
      </c>
      <c r="G533" s="221" t="s">
        <v>314</v>
      </c>
      <c r="H533" s="221" t="s">
        <v>316</v>
      </c>
    </row>
    <row r="534" spans="2:8" x14ac:dyDescent="0.25">
      <c r="B534" s="221">
        <v>0</v>
      </c>
      <c r="C534" s="221">
        <v>10</v>
      </c>
      <c r="D534" s="221"/>
      <c r="E534" s="221"/>
      <c r="F534" s="221">
        <v>0</v>
      </c>
      <c r="G534" s="221">
        <v>2</v>
      </c>
      <c r="H534" s="221">
        <f>(F534*G534+F535*G535+F536*G536+F537*G537+F538*G538+F539*G539+F540*G540)/100</f>
        <v>3.26</v>
      </c>
    </row>
    <row r="535" spans="2:8" x14ac:dyDescent="0.25">
      <c r="B535" s="221">
        <v>11</v>
      </c>
      <c r="C535" s="221">
        <v>25</v>
      </c>
      <c r="D535" s="221">
        <v>19</v>
      </c>
      <c r="E535" s="221">
        <v>25</v>
      </c>
      <c r="F535" s="221">
        <f t="shared" ref="F535:F540" si="61">E535-D535+1</f>
        <v>7</v>
      </c>
      <c r="G535" s="221">
        <v>2.5</v>
      </c>
      <c r="H535" s="221"/>
    </row>
    <row r="536" spans="2:8" x14ac:dyDescent="0.25">
      <c r="B536" s="221">
        <v>26</v>
      </c>
      <c r="C536" s="221">
        <v>55</v>
      </c>
      <c r="D536" s="221">
        <v>26</v>
      </c>
      <c r="E536" s="221">
        <v>55</v>
      </c>
      <c r="F536" s="221">
        <f t="shared" si="61"/>
        <v>30</v>
      </c>
      <c r="G536" s="221">
        <v>3</v>
      </c>
      <c r="H536" s="221"/>
    </row>
    <row r="537" spans="2:8" x14ac:dyDescent="0.25">
      <c r="B537" s="221">
        <v>56</v>
      </c>
      <c r="C537" s="221">
        <v>85</v>
      </c>
      <c r="D537" s="221">
        <v>56</v>
      </c>
      <c r="E537" s="221">
        <v>85</v>
      </c>
      <c r="F537" s="221">
        <f t="shared" si="61"/>
        <v>30</v>
      </c>
      <c r="G537" s="221">
        <v>3</v>
      </c>
      <c r="H537" s="221"/>
    </row>
    <row r="538" spans="2:8" x14ac:dyDescent="0.25">
      <c r="B538" s="221">
        <v>86</v>
      </c>
      <c r="C538" s="221">
        <v>100</v>
      </c>
      <c r="D538" s="221">
        <v>86</v>
      </c>
      <c r="E538" s="221">
        <v>100</v>
      </c>
      <c r="F538" s="221">
        <f t="shared" si="61"/>
        <v>15</v>
      </c>
      <c r="G538" s="221">
        <v>3.5</v>
      </c>
      <c r="H538" s="221"/>
    </row>
    <row r="539" spans="2:8" x14ac:dyDescent="0.25">
      <c r="B539" s="221">
        <v>101</v>
      </c>
      <c r="C539" s="221">
        <v>110</v>
      </c>
      <c r="D539" s="221">
        <v>101</v>
      </c>
      <c r="E539" s="221">
        <v>110</v>
      </c>
      <c r="F539" s="221">
        <f t="shared" si="61"/>
        <v>10</v>
      </c>
      <c r="G539" s="221">
        <v>4</v>
      </c>
      <c r="H539" s="221"/>
    </row>
    <row r="540" spans="2:8" x14ac:dyDescent="0.25">
      <c r="B540" s="221">
        <v>111</v>
      </c>
      <c r="C540" s="221">
        <v>120</v>
      </c>
      <c r="D540" s="221">
        <v>111</v>
      </c>
      <c r="E540" s="221">
        <v>119</v>
      </c>
      <c r="F540" s="221">
        <f t="shared" si="61"/>
        <v>9</v>
      </c>
      <c r="G540" s="221">
        <v>4</v>
      </c>
      <c r="H540" s="221"/>
    </row>
    <row r="541" spans="2:8" x14ac:dyDescent="0.25">
      <c r="B541" s="218"/>
      <c r="C541" s="218"/>
      <c r="D541" s="218"/>
      <c r="E541" s="218"/>
      <c r="F541" s="218"/>
      <c r="G541" s="218"/>
      <c r="H541" s="218"/>
    </row>
    <row r="542" spans="2:8" x14ac:dyDescent="0.25">
      <c r="B542" s="386" t="s">
        <v>319</v>
      </c>
      <c r="C542" s="386"/>
      <c r="D542" s="386"/>
      <c r="E542" s="386"/>
      <c r="F542" s="386"/>
      <c r="G542" s="221"/>
      <c r="H542" s="221"/>
    </row>
    <row r="543" spans="2:8" x14ac:dyDescent="0.25">
      <c r="B543" s="386" t="s">
        <v>254</v>
      </c>
      <c r="C543" s="386"/>
      <c r="D543" s="386" t="s">
        <v>254</v>
      </c>
      <c r="E543" s="386"/>
      <c r="F543" s="192" t="s">
        <v>313</v>
      </c>
      <c r="G543" s="221" t="s">
        <v>314</v>
      </c>
      <c r="H543" s="221" t="s">
        <v>316</v>
      </c>
    </row>
    <row r="544" spans="2:8" x14ac:dyDescent="0.25">
      <c r="B544" s="221">
        <v>0</v>
      </c>
      <c r="C544" s="221">
        <v>10</v>
      </c>
      <c r="D544" s="221"/>
      <c r="E544" s="221"/>
      <c r="F544" s="221">
        <v>0</v>
      </c>
      <c r="G544" s="221">
        <v>2</v>
      </c>
      <c r="H544" s="221">
        <f>(F544*G544+F545*G545+F546*G546+F547*G547+F548*G548+F549*G549+F550*G550)/100</f>
        <v>3.2749999999999999</v>
      </c>
    </row>
    <row r="545" spans="2:8" x14ac:dyDescent="0.25">
      <c r="B545" s="221">
        <v>11</v>
      </c>
      <c r="C545" s="221">
        <v>25</v>
      </c>
      <c r="D545" s="221">
        <v>20</v>
      </c>
      <c r="E545" s="221">
        <v>25</v>
      </c>
      <c r="F545" s="221">
        <f t="shared" ref="F545:F550" si="62">E545-D545+1</f>
        <v>6</v>
      </c>
      <c r="G545" s="221">
        <v>2.5</v>
      </c>
      <c r="H545" s="221"/>
    </row>
    <row r="546" spans="2:8" x14ac:dyDescent="0.25">
      <c r="B546" s="221">
        <v>26</v>
      </c>
      <c r="C546" s="221">
        <v>55</v>
      </c>
      <c r="D546" s="221">
        <v>26</v>
      </c>
      <c r="E546" s="221">
        <v>55</v>
      </c>
      <c r="F546" s="221">
        <f t="shared" si="62"/>
        <v>30</v>
      </c>
      <c r="G546" s="221">
        <v>3</v>
      </c>
      <c r="H546" s="221"/>
    </row>
    <row r="547" spans="2:8" x14ac:dyDescent="0.25">
      <c r="B547" s="221">
        <v>56</v>
      </c>
      <c r="C547" s="221">
        <v>85</v>
      </c>
      <c r="D547" s="221">
        <v>56</v>
      </c>
      <c r="E547" s="221">
        <v>85</v>
      </c>
      <c r="F547" s="221">
        <f t="shared" si="62"/>
        <v>30</v>
      </c>
      <c r="G547" s="221">
        <v>3</v>
      </c>
      <c r="H547" s="221"/>
    </row>
    <row r="548" spans="2:8" x14ac:dyDescent="0.25">
      <c r="B548" s="221">
        <v>86</v>
      </c>
      <c r="C548" s="221">
        <v>100</v>
      </c>
      <c r="D548" s="221">
        <v>86</v>
      </c>
      <c r="E548" s="221">
        <v>100</v>
      </c>
      <c r="F548" s="221">
        <f t="shared" si="62"/>
        <v>15</v>
      </c>
      <c r="G548" s="221">
        <v>3.5</v>
      </c>
      <c r="H548" s="221"/>
    </row>
    <row r="549" spans="2:8" x14ac:dyDescent="0.25">
      <c r="B549" s="221">
        <v>101</v>
      </c>
      <c r="C549" s="221">
        <v>110</v>
      </c>
      <c r="D549" s="221">
        <v>101</v>
      </c>
      <c r="E549" s="221">
        <v>110</v>
      </c>
      <c r="F549" s="221">
        <f t="shared" si="62"/>
        <v>10</v>
      </c>
      <c r="G549" s="221">
        <v>4</v>
      </c>
      <c r="H549" s="221"/>
    </row>
    <row r="550" spans="2:8" x14ac:dyDescent="0.25">
      <c r="B550" s="221">
        <v>111</v>
      </c>
      <c r="C550" s="221">
        <v>120</v>
      </c>
      <c r="D550" s="221">
        <v>111</v>
      </c>
      <c r="E550" s="221">
        <v>120</v>
      </c>
      <c r="F550" s="221">
        <f t="shared" si="62"/>
        <v>10</v>
      </c>
      <c r="G550" s="221">
        <v>4</v>
      </c>
      <c r="H550" s="221"/>
    </row>
    <row r="551" spans="2:8" x14ac:dyDescent="0.25">
      <c r="B551" s="218"/>
      <c r="C551" s="218"/>
      <c r="D551" s="218"/>
      <c r="E551" s="218"/>
      <c r="F551" s="218"/>
      <c r="G551" s="218"/>
      <c r="H551" s="218"/>
    </row>
    <row r="552" spans="2:8" x14ac:dyDescent="0.25">
      <c r="B552" s="386" t="s">
        <v>337</v>
      </c>
      <c r="C552" s="386"/>
      <c r="D552" s="386"/>
      <c r="E552" s="386"/>
      <c r="F552" s="386"/>
      <c r="G552" s="221"/>
      <c r="H552" s="221"/>
    </row>
    <row r="553" spans="2:8" x14ac:dyDescent="0.25">
      <c r="B553" s="386" t="s">
        <v>254</v>
      </c>
      <c r="C553" s="386"/>
      <c r="D553" s="386" t="s">
        <v>254</v>
      </c>
      <c r="E553" s="386"/>
      <c r="F553" s="192" t="s">
        <v>313</v>
      </c>
      <c r="G553" s="221" t="s">
        <v>314</v>
      </c>
      <c r="H553" s="221" t="s">
        <v>316</v>
      </c>
    </row>
    <row r="554" spans="2:8" x14ac:dyDescent="0.25">
      <c r="B554" s="221">
        <v>0</v>
      </c>
      <c r="C554" s="221">
        <v>10</v>
      </c>
      <c r="D554" s="221"/>
      <c r="E554" s="221"/>
      <c r="F554" s="221">
        <v>0</v>
      </c>
      <c r="G554" s="221">
        <v>2</v>
      </c>
      <c r="H554" s="221">
        <f>(F554*G554+F555*G555+F556*G556+F557*G557+F558*G558+F559*G559+F560*G560)/100</f>
        <v>3.29</v>
      </c>
    </row>
    <row r="555" spans="2:8" x14ac:dyDescent="0.25">
      <c r="B555" s="221">
        <v>11</v>
      </c>
      <c r="C555" s="221">
        <v>25</v>
      </c>
      <c r="D555" s="221">
        <v>21</v>
      </c>
      <c r="E555" s="221">
        <v>25</v>
      </c>
      <c r="F555" s="221">
        <f t="shared" ref="F555:F560" si="63">E555-D555+1</f>
        <v>5</v>
      </c>
      <c r="G555" s="221">
        <v>2.5</v>
      </c>
      <c r="H555" s="221"/>
    </row>
    <row r="556" spans="2:8" x14ac:dyDescent="0.25">
      <c r="B556" s="221">
        <v>26</v>
      </c>
      <c r="C556" s="221">
        <v>55</v>
      </c>
      <c r="D556" s="221">
        <v>26</v>
      </c>
      <c r="E556" s="221">
        <v>55</v>
      </c>
      <c r="F556" s="221">
        <f t="shared" si="63"/>
        <v>30</v>
      </c>
      <c r="G556" s="221">
        <v>3</v>
      </c>
      <c r="H556" s="221"/>
    </row>
    <row r="557" spans="2:8" x14ac:dyDescent="0.25">
      <c r="B557" s="221">
        <v>56</v>
      </c>
      <c r="C557" s="221">
        <v>85</v>
      </c>
      <c r="D557" s="221">
        <v>56</v>
      </c>
      <c r="E557" s="221">
        <v>85</v>
      </c>
      <c r="F557" s="221">
        <f t="shared" si="63"/>
        <v>30</v>
      </c>
      <c r="G557" s="221">
        <v>3</v>
      </c>
      <c r="H557" s="221"/>
    </row>
    <row r="558" spans="2:8" x14ac:dyDescent="0.25">
      <c r="B558" s="221">
        <v>86</v>
      </c>
      <c r="C558" s="221">
        <v>100</v>
      </c>
      <c r="D558" s="221">
        <v>86</v>
      </c>
      <c r="E558" s="221">
        <v>100</v>
      </c>
      <c r="F558" s="221">
        <f t="shared" si="63"/>
        <v>15</v>
      </c>
      <c r="G558" s="221">
        <v>3.5</v>
      </c>
      <c r="H558" s="221"/>
    </row>
    <row r="559" spans="2:8" x14ac:dyDescent="0.25">
      <c r="B559" s="221">
        <v>101</v>
      </c>
      <c r="C559" s="221">
        <v>110</v>
      </c>
      <c r="D559" s="221">
        <v>101</v>
      </c>
      <c r="E559" s="221">
        <v>110</v>
      </c>
      <c r="F559" s="221">
        <f t="shared" si="63"/>
        <v>10</v>
      </c>
      <c r="G559" s="221">
        <v>4</v>
      </c>
      <c r="H559" s="221"/>
    </row>
    <row r="560" spans="2:8" x14ac:dyDescent="0.25">
      <c r="B560" s="221">
        <v>111</v>
      </c>
      <c r="C560" s="221">
        <v>120</v>
      </c>
      <c r="D560" s="221">
        <v>111</v>
      </c>
      <c r="E560" s="221">
        <v>121</v>
      </c>
      <c r="F560" s="221">
        <f t="shared" si="63"/>
        <v>11</v>
      </c>
      <c r="G560" s="221">
        <v>4</v>
      </c>
      <c r="H560" s="221"/>
    </row>
    <row r="561" spans="2:8" x14ac:dyDescent="0.25">
      <c r="B561" s="218"/>
      <c r="C561" s="218"/>
      <c r="D561" s="218"/>
      <c r="E561" s="218"/>
      <c r="F561" s="218"/>
      <c r="G561" s="218"/>
      <c r="H561" s="218"/>
    </row>
    <row r="562" spans="2:8" x14ac:dyDescent="0.25">
      <c r="B562" s="386" t="s">
        <v>338</v>
      </c>
      <c r="C562" s="386"/>
      <c r="D562" s="386"/>
      <c r="E562" s="386"/>
      <c r="F562" s="386"/>
      <c r="G562" s="221"/>
      <c r="H562" s="221"/>
    </row>
    <row r="563" spans="2:8" x14ac:dyDescent="0.25">
      <c r="B563" s="386" t="s">
        <v>254</v>
      </c>
      <c r="C563" s="386"/>
      <c r="D563" s="386" t="s">
        <v>254</v>
      </c>
      <c r="E563" s="386"/>
      <c r="F563" s="192" t="s">
        <v>313</v>
      </c>
      <c r="G563" s="221" t="s">
        <v>314</v>
      </c>
      <c r="H563" s="221" t="s">
        <v>316</v>
      </c>
    </row>
    <row r="564" spans="2:8" x14ac:dyDescent="0.25">
      <c r="B564" s="221">
        <v>0</v>
      </c>
      <c r="C564" s="221">
        <v>10</v>
      </c>
      <c r="D564" s="221"/>
      <c r="E564" s="221"/>
      <c r="F564" s="221">
        <v>0</v>
      </c>
      <c r="G564" s="221">
        <v>2</v>
      </c>
      <c r="H564" s="221">
        <f>(F564*G564+F565*G565+F566*G566+F567*G567+F568*G568+F569*G569+F570*G570)/100</f>
        <v>3.3050000000000002</v>
      </c>
    </row>
    <row r="565" spans="2:8" x14ac:dyDescent="0.25">
      <c r="B565" s="221">
        <v>11</v>
      </c>
      <c r="C565" s="221">
        <v>25</v>
      </c>
      <c r="D565" s="221">
        <v>22</v>
      </c>
      <c r="E565" s="221">
        <v>25</v>
      </c>
      <c r="F565" s="221">
        <f t="shared" ref="F565:F570" si="64">E565-D565+1</f>
        <v>4</v>
      </c>
      <c r="G565" s="221">
        <v>2.5</v>
      </c>
      <c r="H565" s="221"/>
    </row>
    <row r="566" spans="2:8" x14ac:dyDescent="0.25">
      <c r="B566" s="221">
        <v>26</v>
      </c>
      <c r="C566" s="221">
        <v>55</v>
      </c>
      <c r="D566" s="221">
        <v>26</v>
      </c>
      <c r="E566" s="221">
        <v>55</v>
      </c>
      <c r="F566" s="221">
        <f t="shared" si="64"/>
        <v>30</v>
      </c>
      <c r="G566" s="221">
        <v>3</v>
      </c>
      <c r="H566" s="221"/>
    </row>
    <row r="567" spans="2:8" x14ac:dyDescent="0.25">
      <c r="B567" s="221">
        <v>56</v>
      </c>
      <c r="C567" s="221">
        <v>85</v>
      </c>
      <c r="D567" s="221">
        <v>56</v>
      </c>
      <c r="E567" s="221">
        <v>85</v>
      </c>
      <c r="F567" s="221">
        <f t="shared" si="64"/>
        <v>30</v>
      </c>
      <c r="G567" s="221">
        <v>3</v>
      </c>
      <c r="H567" s="221"/>
    </row>
    <row r="568" spans="2:8" x14ac:dyDescent="0.25">
      <c r="B568" s="221">
        <v>86</v>
      </c>
      <c r="C568" s="221">
        <v>100</v>
      </c>
      <c r="D568" s="221">
        <v>86</v>
      </c>
      <c r="E568" s="221">
        <v>100</v>
      </c>
      <c r="F568" s="221">
        <f t="shared" si="64"/>
        <v>15</v>
      </c>
      <c r="G568" s="221">
        <v>3.5</v>
      </c>
      <c r="H568" s="221"/>
    </row>
    <row r="569" spans="2:8" x14ac:dyDescent="0.25">
      <c r="B569" s="221">
        <v>101</v>
      </c>
      <c r="C569" s="221">
        <v>110</v>
      </c>
      <c r="D569" s="221">
        <v>101</v>
      </c>
      <c r="E569" s="221">
        <v>110</v>
      </c>
      <c r="F569" s="221">
        <f t="shared" si="64"/>
        <v>10</v>
      </c>
      <c r="G569" s="221">
        <v>4</v>
      </c>
      <c r="H569" s="221"/>
    </row>
    <row r="570" spans="2:8" x14ac:dyDescent="0.25">
      <c r="B570" s="221">
        <v>111</v>
      </c>
      <c r="C570" s="221">
        <v>120</v>
      </c>
      <c r="D570" s="221">
        <v>111</v>
      </c>
      <c r="E570" s="221">
        <v>122</v>
      </c>
      <c r="F570" s="221">
        <f t="shared" si="64"/>
        <v>12</v>
      </c>
      <c r="G570" s="221">
        <v>4</v>
      </c>
      <c r="H570" s="221"/>
    </row>
    <row r="571" spans="2:8" x14ac:dyDescent="0.25">
      <c r="B571" s="218"/>
      <c r="C571" s="218"/>
      <c r="D571" s="218"/>
      <c r="E571" s="218"/>
      <c r="F571" s="218"/>
      <c r="G571" s="218"/>
      <c r="H571" s="218"/>
    </row>
    <row r="572" spans="2:8" x14ac:dyDescent="0.25">
      <c r="B572" s="386" t="s">
        <v>339</v>
      </c>
      <c r="C572" s="386"/>
      <c r="D572" s="386"/>
      <c r="E572" s="386"/>
      <c r="F572" s="386"/>
      <c r="G572" s="221"/>
      <c r="H572" s="221"/>
    </row>
    <row r="573" spans="2:8" x14ac:dyDescent="0.25">
      <c r="B573" s="386" t="s">
        <v>254</v>
      </c>
      <c r="C573" s="386"/>
      <c r="D573" s="386" t="s">
        <v>254</v>
      </c>
      <c r="E573" s="386"/>
      <c r="F573" s="192" t="s">
        <v>313</v>
      </c>
      <c r="G573" s="221" t="s">
        <v>314</v>
      </c>
      <c r="H573" s="221" t="s">
        <v>316</v>
      </c>
    </row>
    <row r="574" spans="2:8" x14ac:dyDescent="0.25">
      <c r="B574" s="221">
        <v>0</v>
      </c>
      <c r="C574" s="221">
        <v>10</v>
      </c>
      <c r="D574" s="221"/>
      <c r="E574" s="221"/>
      <c r="F574" s="221">
        <v>0</v>
      </c>
      <c r="G574" s="221">
        <v>2</v>
      </c>
      <c r="H574" s="221">
        <f>(F574*G574+F575*G575+F576*G576+F577*G577+F578*G578+F579*G579+F580*G580)/100</f>
        <v>3.32</v>
      </c>
    </row>
    <row r="575" spans="2:8" x14ac:dyDescent="0.25">
      <c r="B575" s="221">
        <v>11</v>
      </c>
      <c r="C575" s="221">
        <v>25</v>
      </c>
      <c r="D575" s="221">
        <v>23</v>
      </c>
      <c r="E575" s="221">
        <v>25</v>
      </c>
      <c r="F575" s="221">
        <f t="shared" ref="F575:F580" si="65">E575-D575+1</f>
        <v>3</v>
      </c>
      <c r="G575" s="221">
        <v>2.5</v>
      </c>
      <c r="H575" s="221"/>
    </row>
    <row r="576" spans="2:8" x14ac:dyDescent="0.25">
      <c r="B576" s="221">
        <v>26</v>
      </c>
      <c r="C576" s="221">
        <v>55</v>
      </c>
      <c r="D576" s="221">
        <v>26</v>
      </c>
      <c r="E576" s="221">
        <v>55</v>
      </c>
      <c r="F576" s="221">
        <f t="shared" si="65"/>
        <v>30</v>
      </c>
      <c r="G576" s="221">
        <v>3</v>
      </c>
      <c r="H576" s="221"/>
    </row>
    <row r="577" spans="2:8" x14ac:dyDescent="0.25">
      <c r="B577" s="221">
        <v>56</v>
      </c>
      <c r="C577" s="221">
        <v>85</v>
      </c>
      <c r="D577" s="221">
        <v>56</v>
      </c>
      <c r="E577" s="221">
        <v>85</v>
      </c>
      <c r="F577" s="221">
        <f t="shared" si="65"/>
        <v>30</v>
      </c>
      <c r="G577" s="221">
        <v>3</v>
      </c>
      <c r="H577" s="221"/>
    </row>
    <row r="578" spans="2:8" x14ac:dyDescent="0.25">
      <c r="B578" s="221">
        <v>86</v>
      </c>
      <c r="C578" s="221">
        <v>100</v>
      </c>
      <c r="D578" s="221">
        <v>86</v>
      </c>
      <c r="E578" s="221">
        <v>100</v>
      </c>
      <c r="F578" s="221">
        <f t="shared" si="65"/>
        <v>15</v>
      </c>
      <c r="G578" s="221">
        <v>3.5</v>
      </c>
      <c r="H578" s="221"/>
    </row>
    <row r="579" spans="2:8" x14ac:dyDescent="0.25">
      <c r="B579" s="221">
        <v>101</v>
      </c>
      <c r="C579" s="221">
        <v>110</v>
      </c>
      <c r="D579" s="221">
        <v>101</v>
      </c>
      <c r="E579" s="221">
        <v>110</v>
      </c>
      <c r="F579" s="221">
        <f t="shared" si="65"/>
        <v>10</v>
      </c>
      <c r="G579" s="221">
        <v>4</v>
      </c>
      <c r="H579" s="221"/>
    </row>
    <row r="580" spans="2:8" x14ac:dyDescent="0.25">
      <c r="B580" s="221">
        <v>111</v>
      </c>
      <c r="C580" s="221">
        <v>120</v>
      </c>
      <c r="D580" s="221">
        <v>111</v>
      </c>
      <c r="E580" s="221">
        <v>123</v>
      </c>
      <c r="F580" s="221">
        <f t="shared" si="65"/>
        <v>13</v>
      </c>
      <c r="G580" s="221">
        <v>4</v>
      </c>
      <c r="H580" s="221"/>
    </row>
    <row r="581" spans="2:8" x14ac:dyDescent="0.25">
      <c r="B581" s="218"/>
      <c r="C581" s="218"/>
      <c r="D581" s="218"/>
      <c r="E581" s="218"/>
      <c r="F581" s="218"/>
      <c r="G581" s="218"/>
      <c r="H581" s="218"/>
    </row>
    <row r="582" spans="2:8" x14ac:dyDescent="0.25">
      <c r="B582" s="386" t="s">
        <v>340</v>
      </c>
      <c r="C582" s="386"/>
      <c r="D582" s="386"/>
      <c r="E582" s="386"/>
      <c r="F582" s="386"/>
      <c r="G582" s="221"/>
      <c r="H582" s="221"/>
    </row>
    <row r="583" spans="2:8" x14ac:dyDescent="0.25">
      <c r="B583" s="386" t="s">
        <v>254</v>
      </c>
      <c r="C583" s="386"/>
      <c r="D583" s="386" t="s">
        <v>254</v>
      </c>
      <c r="E583" s="386"/>
      <c r="F583" s="192" t="s">
        <v>313</v>
      </c>
      <c r="G583" s="221" t="s">
        <v>314</v>
      </c>
      <c r="H583" s="221" t="s">
        <v>316</v>
      </c>
    </row>
    <row r="584" spans="2:8" x14ac:dyDescent="0.25">
      <c r="B584" s="221">
        <v>0</v>
      </c>
      <c r="C584" s="221">
        <v>10</v>
      </c>
      <c r="D584" s="221"/>
      <c r="E584" s="221"/>
      <c r="F584" s="221">
        <v>0</v>
      </c>
      <c r="G584" s="221">
        <v>2</v>
      </c>
      <c r="H584" s="221">
        <f>(F584*G584+F585*G585+F586*G586+F587*G587+F588*G588+F589*G589+F590*G590)/100</f>
        <v>3.335</v>
      </c>
    </row>
    <row r="585" spans="2:8" x14ac:dyDescent="0.25">
      <c r="B585" s="221">
        <v>11</v>
      </c>
      <c r="C585" s="221">
        <v>25</v>
      </c>
      <c r="D585" s="221">
        <v>24</v>
      </c>
      <c r="E585" s="221">
        <v>25</v>
      </c>
      <c r="F585" s="221">
        <f t="shared" ref="F585:F590" si="66">E585-D585+1</f>
        <v>2</v>
      </c>
      <c r="G585" s="221">
        <v>2.5</v>
      </c>
      <c r="H585" s="221"/>
    </row>
    <row r="586" spans="2:8" x14ac:dyDescent="0.25">
      <c r="B586" s="221">
        <v>26</v>
      </c>
      <c r="C586" s="221">
        <v>55</v>
      </c>
      <c r="D586" s="221">
        <v>26</v>
      </c>
      <c r="E586" s="221">
        <v>55</v>
      </c>
      <c r="F586" s="221">
        <f t="shared" si="66"/>
        <v>30</v>
      </c>
      <c r="G586" s="221">
        <v>3</v>
      </c>
      <c r="H586" s="221"/>
    </row>
    <row r="587" spans="2:8" x14ac:dyDescent="0.25">
      <c r="B587" s="221">
        <v>56</v>
      </c>
      <c r="C587" s="221">
        <v>85</v>
      </c>
      <c r="D587" s="221">
        <v>56</v>
      </c>
      <c r="E587" s="221">
        <v>85</v>
      </c>
      <c r="F587" s="221">
        <f t="shared" si="66"/>
        <v>30</v>
      </c>
      <c r="G587" s="221">
        <v>3</v>
      </c>
      <c r="H587" s="221"/>
    </row>
    <row r="588" spans="2:8" x14ac:dyDescent="0.25">
      <c r="B588" s="221">
        <v>86</v>
      </c>
      <c r="C588" s="221">
        <v>100</v>
      </c>
      <c r="D588" s="221">
        <v>86</v>
      </c>
      <c r="E588" s="221">
        <v>100</v>
      </c>
      <c r="F588" s="221">
        <f t="shared" si="66"/>
        <v>15</v>
      </c>
      <c r="G588" s="221">
        <v>3.5</v>
      </c>
      <c r="H588" s="221"/>
    </row>
    <row r="589" spans="2:8" x14ac:dyDescent="0.25">
      <c r="B589" s="221">
        <v>101</v>
      </c>
      <c r="C589" s="221">
        <v>110</v>
      </c>
      <c r="D589" s="221">
        <v>101</v>
      </c>
      <c r="E589" s="221">
        <v>110</v>
      </c>
      <c r="F589" s="221">
        <f t="shared" si="66"/>
        <v>10</v>
      </c>
      <c r="G589" s="221">
        <v>4</v>
      </c>
      <c r="H589" s="221"/>
    </row>
    <row r="590" spans="2:8" x14ac:dyDescent="0.25">
      <c r="B590" s="221">
        <v>111</v>
      </c>
      <c r="C590" s="221">
        <v>120</v>
      </c>
      <c r="D590" s="221">
        <v>111</v>
      </c>
      <c r="E590" s="221">
        <v>124</v>
      </c>
      <c r="F590" s="221">
        <f t="shared" si="66"/>
        <v>14</v>
      </c>
      <c r="G590" s="221">
        <v>4</v>
      </c>
      <c r="H590" s="221"/>
    </row>
    <row r="591" spans="2:8" x14ac:dyDescent="0.25">
      <c r="B591" s="218"/>
      <c r="C591" s="218"/>
      <c r="D591" s="218"/>
      <c r="E591" s="218"/>
      <c r="F591" s="218"/>
      <c r="G591" s="218"/>
      <c r="H591" s="218"/>
    </row>
    <row r="592" spans="2:8" x14ac:dyDescent="0.25">
      <c r="B592" s="386" t="s">
        <v>341</v>
      </c>
      <c r="C592" s="386"/>
      <c r="D592" s="386"/>
      <c r="E592" s="386"/>
      <c r="F592" s="386"/>
      <c r="G592" s="221"/>
      <c r="H592" s="221"/>
    </row>
    <row r="593" spans="2:8" x14ac:dyDescent="0.25">
      <c r="B593" s="386" t="s">
        <v>254</v>
      </c>
      <c r="C593" s="386"/>
      <c r="D593" s="386" t="s">
        <v>254</v>
      </c>
      <c r="E593" s="386"/>
      <c r="F593" s="192" t="s">
        <v>313</v>
      </c>
      <c r="G593" s="221" t="s">
        <v>314</v>
      </c>
      <c r="H593" s="221" t="s">
        <v>316</v>
      </c>
    </row>
    <row r="594" spans="2:8" x14ac:dyDescent="0.25">
      <c r="B594" s="221">
        <v>0</v>
      </c>
      <c r="C594" s="221">
        <v>10</v>
      </c>
      <c r="D594" s="221"/>
      <c r="E594" s="221"/>
      <c r="F594" s="221">
        <v>0</v>
      </c>
      <c r="G594" s="221">
        <v>2</v>
      </c>
      <c r="H594" s="221">
        <f>(F594*G594+F595*G595+F596*G596+F597*G597+F598*G598+F599*G599+F600*G600)/100</f>
        <v>3.35</v>
      </c>
    </row>
    <row r="595" spans="2:8" x14ac:dyDescent="0.25">
      <c r="B595" s="221">
        <v>11</v>
      </c>
      <c r="C595" s="221">
        <v>25</v>
      </c>
      <c r="D595" s="221">
        <v>25</v>
      </c>
      <c r="E595" s="221">
        <v>25</v>
      </c>
      <c r="F595" s="221">
        <f t="shared" ref="F595:F600" si="67">E595-D595+1</f>
        <v>1</v>
      </c>
      <c r="G595" s="221">
        <v>2.5</v>
      </c>
      <c r="H595" s="221"/>
    </row>
    <row r="596" spans="2:8" x14ac:dyDescent="0.25">
      <c r="B596" s="221">
        <v>26</v>
      </c>
      <c r="C596" s="221">
        <v>55</v>
      </c>
      <c r="D596" s="221">
        <v>26</v>
      </c>
      <c r="E596" s="221">
        <v>55</v>
      </c>
      <c r="F596" s="221">
        <f t="shared" si="67"/>
        <v>30</v>
      </c>
      <c r="G596" s="221">
        <v>3</v>
      </c>
      <c r="H596" s="221"/>
    </row>
    <row r="597" spans="2:8" x14ac:dyDescent="0.25">
      <c r="B597" s="221">
        <v>56</v>
      </c>
      <c r="C597" s="221">
        <v>85</v>
      </c>
      <c r="D597" s="221">
        <v>56</v>
      </c>
      <c r="E597" s="221">
        <v>85</v>
      </c>
      <c r="F597" s="221">
        <f t="shared" si="67"/>
        <v>30</v>
      </c>
      <c r="G597" s="221">
        <v>3</v>
      </c>
      <c r="H597" s="221"/>
    </row>
    <row r="598" spans="2:8" x14ac:dyDescent="0.25">
      <c r="B598" s="221">
        <v>86</v>
      </c>
      <c r="C598" s="221">
        <v>100</v>
      </c>
      <c r="D598" s="221">
        <v>86</v>
      </c>
      <c r="E598" s="221">
        <v>100</v>
      </c>
      <c r="F598" s="221">
        <f t="shared" si="67"/>
        <v>15</v>
      </c>
      <c r="G598" s="221">
        <v>3.5</v>
      </c>
      <c r="H598" s="221"/>
    </row>
    <row r="599" spans="2:8" x14ac:dyDescent="0.25">
      <c r="B599" s="221">
        <v>101</v>
      </c>
      <c r="C599" s="221">
        <v>110</v>
      </c>
      <c r="D599" s="221">
        <v>101</v>
      </c>
      <c r="E599" s="221">
        <v>110</v>
      </c>
      <c r="F599" s="221">
        <f t="shared" si="67"/>
        <v>10</v>
      </c>
      <c r="G599" s="221">
        <v>4</v>
      </c>
      <c r="H599" s="221"/>
    </row>
    <row r="600" spans="2:8" x14ac:dyDescent="0.25">
      <c r="B600" s="221">
        <v>111</v>
      </c>
      <c r="C600" s="221">
        <v>120</v>
      </c>
      <c r="D600" s="221">
        <v>111</v>
      </c>
      <c r="E600" s="221">
        <v>125</v>
      </c>
      <c r="F600" s="221">
        <f t="shared" si="67"/>
        <v>15</v>
      </c>
      <c r="G600" s="221">
        <v>4</v>
      </c>
      <c r="H600" s="221"/>
    </row>
    <row r="601" spans="2:8" x14ac:dyDescent="0.25">
      <c r="B601" s="218"/>
      <c r="C601" s="218"/>
      <c r="D601" s="218"/>
      <c r="E601" s="218"/>
      <c r="F601" s="218"/>
      <c r="G601" s="218"/>
      <c r="H601" s="218"/>
    </row>
    <row r="602" spans="2:8" x14ac:dyDescent="0.25">
      <c r="B602" s="386" t="s">
        <v>342</v>
      </c>
      <c r="C602" s="386"/>
      <c r="D602" s="386"/>
      <c r="E602" s="386"/>
      <c r="F602" s="386"/>
      <c r="G602" s="221"/>
      <c r="H602" s="221"/>
    </row>
    <row r="603" spans="2:8" x14ac:dyDescent="0.25">
      <c r="B603" s="386" t="s">
        <v>254</v>
      </c>
      <c r="C603" s="386"/>
      <c r="D603" s="386" t="s">
        <v>254</v>
      </c>
      <c r="E603" s="386"/>
      <c r="F603" s="192" t="s">
        <v>313</v>
      </c>
      <c r="G603" s="221" t="s">
        <v>314</v>
      </c>
      <c r="H603" s="221" t="s">
        <v>316</v>
      </c>
    </row>
    <row r="604" spans="2:8" x14ac:dyDescent="0.25">
      <c r="B604" s="221">
        <v>0</v>
      </c>
      <c r="C604" s="221">
        <v>10</v>
      </c>
      <c r="D604" s="221"/>
      <c r="E604" s="221"/>
      <c r="F604" s="221">
        <v>0</v>
      </c>
      <c r="G604" s="221">
        <v>2</v>
      </c>
      <c r="H604" s="221">
        <f>(F604*G604+F605*G605+F606*G606+F607*G607+F608*G608+F609*G609+F610*G610)/100</f>
        <v>3.3650000000000002</v>
      </c>
    </row>
    <row r="605" spans="2:8" x14ac:dyDescent="0.25">
      <c r="B605" s="221">
        <v>11</v>
      </c>
      <c r="C605" s="221">
        <v>25</v>
      </c>
      <c r="D605" s="221"/>
      <c r="E605" s="221"/>
      <c r="F605" s="221">
        <v>0</v>
      </c>
      <c r="G605" s="221">
        <v>2.5</v>
      </c>
      <c r="H605" s="221"/>
    </row>
    <row r="606" spans="2:8" x14ac:dyDescent="0.25">
      <c r="B606" s="221">
        <v>26</v>
      </c>
      <c r="C606" s="221">
        <v>55</v>
      </c>
      <c r="D606" s="221">
        <v>26</v>
      </c>
      <c r="E606" s="221">
        <v>55</v>
      </c>
      <c r="F606" s="221">
        <f t="shared" ref="F606:F610" si="68">E606-D606+1</f>
        <v>30</v>
      </c>
      <c r="G606" s="221">
        <v>3</v>
      </c>
      <c r="H606" s="221"/>
    </row>
    <row r="607" spans="2:8" x14ac:dyDescent="0.25">
      <c r="B607" s="221">
        <v>56</v>
      </c>
      <c r="C607" s="221">
        <v>85</v>
      </c>
      <c r="D607" s="221">
        <v>56</v>
      </c>
      <c r="E607" s="221">
        <v>85</v>
      </c>
      <c r="F607" s="221">
        <f t="shared" si="68"/>
        <v>30</v>
      </c>
      <c r="G607" s="221">
        <v>3</v>
      </c>
      <c r="H607" s="221"/>
    </row>
    <row r="608" spans="2:8" x14ac:dyDescent="0.25">
      <c r="B608" s="221">
        <v>86</v>
      </c>
      <c r="C608" s="221">
        <v>100</v>
      </c>
      <c r="D608" s="221">
        <v>86</v>
      </c>
      <c r="E608" s="221">
        <v>100</v>
      </c>
      <c r="F608" s="221">
        <f t="shared" si="68"/>
        <v>15</v>
      </c>
      <c r="G608" s="221">
        <v>3.5</v>
      </c>
      <c r="H608" s="221"/>
    </row>
    <row r="609" spans="2:8" x14ac:dyDescent="0.25">
      <c r="B609" s="221">
        <v>101</v>
      </c>
      <c r="C609" s="221">
        <v>110</v>
      </c>
      <c r="D609" s="221">
        <v>101</v>
      </c>
      <c r="E609" s="221">
        <v>110</v>
      </c>
      <c r="F609" s="221">
        <f t="shared" si="68"/>
        <v>10</v>
      </c>
      <c r="G609" s="221">
        <v>4</v>
      </c>
      <c r="H609" s="221"/>
    </row>
    <row r="610" spans="2:8" x14ac:dyDescent="0.25">
      <c r="B610" s="221">
        <v>111</v>
      </c>
      <c r="C610" s="221">
        <v>120</v>
      </c>
      <c r="D610" s="221">
        <v>111</v>
      </c>
      <c r="E610" s="221">
        <v>126</v>
      </c>
      <c r="F610" s="221">
        <f t="shared" si="68"/>
        <v>16</v>
      </c>
      <c r="G610" s="221">
        <v>4</v>
      </c>
      <c r="H610" s="221"/>
    </row>
    <row r="611" spans="2:8" x14ac:dyDescent="0.25">
      <c r="B611" s="218"/>
      <c r="C611" s="218"/>
      <c r="D611" s="218"/>
      <c r="E611" s="218"/>
      <c r="F611" s="218"/>
      <c r="G611" s="218"/>
      <c r="H611" s="218"/>
    </row>
    <row r="612" spans="2:8" x14ac:dyDescent="0.25">
      <c r="B612" s="386" t="s">
        <v>343</v>
      </c>
      <c r="C612" s="386"/>
      <c r="D612" s="386"/>
      <c r="E612" s="386"/>
      <c r="F612" s="386"/>
      <c r="G612" s="221"/>
      <c r="H612" s="221"/>
    </row>
    <row r="613" spans="2:8" x14ac:dyDescent="0.25">
      <c r="B613" s="386" t="s">
        <v>254</v>
      </c>
      <c r="C613" s="386"/>
      <c r="D613" s="386" t="s">
        <v>254</v>
      </c>
      <c r="E613" s="386"/>
      <c r="F613" s="192" t="s">
        <v>313</v>
      </c>
      <c r="G613" s="221" t="s">
        <v>314</v>
      </c>
      <c r="H613" s="221" t="s">
        <v>316</v>
      </c>
    </row>
    <row r="614" spans="2:8" x14ac:dyDescent="0.25">
      <c r="B614" s="221">
        <v>0</v>
      </c>
      <c r="C614" s="221">
        <v>10</v>
      </c>
      <c r="D614" s="221"/>
      <c r="E614" s="221"/>
      <c r="F614" s="221">
        <v>0</v>
      </c>
      <c r="G614" s="221">
        <v>2</v>
      </c>
      <c r="H614" s="221">
        <f>(F614*G614+F615*G615+F616*G616+F617*G617+F618*G618+F619*G619+F620*G620)/100</f>
        <v>3.375</v>
      </c>
    </row>
    <row r="615" spans="2:8" x14ac:dyDescent="0.25">
      <c r="B615" s="221">
        <v>11</v>
      </c>
      <c r="C615" s="221">
        <v>25</v>
      </c>
      <c r="D615" s="221"/>
      <c r="E615" s="221"/>
      <c r="F615" s="221">
        <v>0</v>
      </c>
      <c r="G615" s="221">
        <v>2.5</v>
      </c>
      <c r="H615" s="221"/>
    </row>
    <row r="616" spans="2:8" x14ac:dyDescent="0.25">
      <c r="B616" s="221">
        <v>26</v>
      </c>
      <c r="C616" s="221">
        <v>55</v>
      </c>
      <c r="D616" s="221">
        <v>27</v>
      </c>
      <c r="E616" s="221">
        <v>55</v>
      </c>
      <c r="F616" s="221">
        <f t="shared" ref="F616:F620" si="69">E616-D616+1</f>
        <v>29</v>
      </c>
      <c r="G616" s="221">
        <v>3</v>
      </c>
      <c r="H616" s="221"/>
    </row>
    <row r="617" spans="2:8" x14ac:dyDescent="0.25">
      <c r="B617" s="221">
        <v>56</v>
      </c>
      <c r="C617" s="221">
        <v>85</v>
      </c>
      <c r="D617" s="221">
        <v>56</v>
      </c>
      <c r="E617" s="221">
        <v>85</v>
      </c>
      <c r="F617" s="221">
        <f t="shared" si="69"/>
        <v>30</v>
      </c>
      <c r="G617" s="221">
        <v>3</v>
      </c>
      <c r="H617" s="221"/>
    </row>
    <row r="618" spans="2:8" x14ac:dyDescent="0.25">
      <c r="B618" s="221">
        <v>86</v>
      </c>
      <c r="C618" s="221">
        <v>100</v>
      </c>
      <c r="D618" s="221">
        <v>86</v>
      </c>
      <c r="E618" s="221">
        <v>100</v>
      </c>
      <c r="F618" s="221">
        <f t="shared" si="69"/>
        <v>15</v>
      </c>
      <c r="G618" s="221">
        <v>3.5</v>
      </c>
      <c r="H618" s="221"/>
    </row>
    <row r="619" spans="2:8" x14ac:dyDescent="0.25">
      <c r="B619" s="221">
        <v>101</v>
      </c>
      <c r="C619" s="221">
        <v>110</v>
      </c>
      <c r="D619" s="221">
        <v>101</v>
      </c>
      <c r="E619" s="221">
        <v>110</v>
      </c>
      <c r="F619" s="221">
        <f t="shared" si="69"/>
        <v>10</v>
      </c>
      <c r="G619" s="221">
        <v>4</v>
      </c>
      <c r="H619" s="221"/>
    </row>
    <row r="620" spans="2:8" x14ac:dyDescent="0.25">
      <c r="B620" s="221">
        <v>111</v>
      </c>
      <c r="C620" s="221">
        <v>120</v>
      </c>
      <c r="D620" s="221">
        <v>111</v>
      </c>
      <c r="E620" s="221">
        <v>127</v>
      </c>
      <c r="F620" s="221">
        <f t="shared" si="69"/>
        <v>17</v>
      </c>
      <c r="G620" s="221">
        <v>4</v>
      </c>
      <c r="H620" s="221"/>
    </row>
    <row r="621" spans="2:8" x14ac:dyDescent="0.25">
      <c r="B621" s="218"/>
      <c r="C621" s="218"/>
      <c r="D621" s="218"/>
      <c r="E621" s="218"/>
      <c r="F621" s="218"/>
      <c r="G621" s="218"/>
      <c r="H621" s="218"/>
    </row>
    <row r="622" spans="2:8" x14ac:dyDescent="0.25">
      <c r="B622" s="386" t="s">
        <v>344</v>
      </c>
      <c r="C622" s="386"/>
      <c r="D622" s="386"/>
      <c r="E622" s="386"/>
      <c r="F622" s="386"/>
      <c r="G622" s="221"/>
      <c r="H622" s="221"/>
    </row>
    <row r="623" spans="2:8" x14ac:dyDescent="0.25">
      <c r="B623" s="386" t="s">
        <v>254</v>
      </c>
      <c r="C623" s="386"/>
      <c r="D623" s="386" t="s">
        <v>254</v>
      </c>
      <c r="E623" s="386"/>
      <c r="F623" s="192" t="s">
        <v>313</v>
      </c>
      <c r="G623" s="221" t="s">
        <v>314</v>
      </c>
      <c r="H623" s="221" t="s">
        <v>316</v>
      </c>
    </row>
    <row r="624" spans="2:8" x14ac:dyDescent="0.25">
      <c r="B624" s="221">
        <v>0</v>
      </c>
      <c r="C624" s="221">
        <v>10</v>
      </c>
      <c r="D624" s="221"/>
      <c r="E624" s="221"/>
      <c r="F624" s="221">
        <v>0</v>
      </c>
      <c r="G624" s="221">
        <v>2</v>
      </c>
      <c r="H624" s="221">
        <f>(F624*G624+F625*G625+F626*G626+F627*G627+F628*G628+F629*G629+F630*G630)/100</f>
        <v>3.3849999999999998</v>
      </c>
    </row>
    <row r="625" spans="2:8" x14ac:dyDescent="0.25">
      <c r="B625" s="221">
        <v>11</v>
      </c>
      <c r="C625" s="221">
        <v>25</v>
      </c>
      <c r="D625" s="221"/>
      <c r="E625" s="221"/>
      <c r="F625" s="221">
        <v>0</v>
      </c>
      <c r="G625" s="221">
        <v>2.5</v>
      </c>
      <c r="H625" s="221"/>
    </row>
    <row r="626" spans="2:8" x14ac:dyDescent="0.25">
      <c r="B626" s="221">
        <v>26</v>
      </c>
      <c r="C626" s="221">
        <v>55</v>
      </c>
      <c r="D626" s="221">
        <v>28</v>
      </c>
      <c r="E626" s="221">
        <v>55</v>
      </c>
      <c r="F626" s="221">
        <f t="shared" ref="F626:F630" si="70">E626-D626+1</f>
        <v>28</v>
      </c>
      <c r="G626" s="221">
        <v>3</v>
      </c>
      <c r="H626" s="221"/>
    </row>
    <row r="627" spans="2:8" x14ac:dyDescent="0.25">
      <c r="B627" s="221">
        <v>56</v>
      </c>
      <c r="C627" s="221">
        <v>85</v>
      </c>
      <c r="D627" s="221">
        <v>56</v>
      </c>
      <c r="E627" s="221">
        <v>85</v>
      </c>
      <c r="F627" s="221">
        <f t="shared" si="70"/>
        <v>30</v>
      </c>
      <c r="G627" s="221">
        <v>3</v>
      </c>
      <c r="H627" s="221"/>
    </row>
    <row r="628" spans="2:8" x14ac:dyDescent="0.25">
      <c r="B628" s="221">
        <v>86</v>
      </c>
      <c r="C628" s="221">
        <v>100</v>
      </c>
      <c r="D628" s="221">
        <v>86</v>
      </c>
      <c r="E628" s="221">
        <v>100</v>
      </c>
      <c r="F628" s="221">
        <f t="shared" si="70"/>
        <v>15</v>
      </c>
      <c r="G628" s="221">
        <v>3.5</v>
      </c>
      <c r="H628" s="221"/>
    </row>
    <row r="629" spans="2:8" x14ac:dyDescent="0.25">
      <c r="B629" s="221">
        <v>101</v>
      </c>
      <c r="C629" s="221">
        <v>110</v>
      </c>
      <c r="D629" s="221">
        <v>101</v>
      </c>
      <c r="E629" s="221">
        <v>110</v>
      </c>
      <c r="F629" s="221">
        <f t="shared" si="70"/>
        <v>10</v>
      </c>
      <c r="G629" s="221">
        <v>4</v>
      </c>
      <c r="H629" s="221"/>
    </row>
    <row r="630" spans="2:8" x14ac:dyDescent="0.25">
      <c r="B630" s="221">
        <v>111</v>
      </c>
      <c r="C630" s="221">
        <v>120</v>
      </c>
      <c r="D630" s="221">
        <v>111</v>
      </c>
      <c r="E630" s="221">
        <v>128</v>
      </c>
      <c r="F630" s="221">
        <f t="shared" si="70"/>
        <v>18</v>
      </c>
      <c r="G630" s="221">
        <v>4</v>
      </c>
      <c r="H630" s="221"/>
    </row>
    <row r="631" spans="2:8" x14ac:dyDescent="0.25">
      <c r="B631" s="218"/>
      <c r="C631" s="218"/>
      <c r="D631" s="218"/>
      <c r="E631" s="218"/>
      <c r="F631" s="218"/>
      <c r="G631" s="218"/>
      <c r="H631" s="218"/>
    </row>
    <row r="632" spans="2:8" x14ac:dyDescent="0.25">
      <c r="B632" s="386" t="s">
        <v>345</v>
      </c>
      <c r="C632" s="386"/>
      <c r="D632" s="386"/>
      <c r="E632" s="386"/>
      <c r="F632" s="386"/>
      <c r="G632" s="221"/>
      <c r="H632" s="221"/>
    </row>
    <row r="633" spans="2:8" x14ac:dyDescent="0.25">
      <c r="B633" s="386" t="s">
        <v>254</v>
      </c>
      <c r="C633" s="386"/>
      <c r="D633" s="386" t="s">
        <v>254</v>
      </c>
      <c r="E633" s="386"/>
      <c r="F633" s="192" t="s">
        <v>313</v>
      </c>
      <c r="G633" s="221" t="s">
        <v>314</v>
      </c>
      <c r="H633" s="221" t="s">
        <v>316</v>
      </c>
    </row>
    <row r="634" spans="2:8" x14ac:dyDescent="0.25">
      <c r="B634" s="221">
        <v>0</v>
      </c>
      <c r="C634" s="221">
        <v>10</v>
      </c>
      <c r="D634" s="221"/>
      <c r="E634" s="221"/>
      <c r="F634" s="221">
        <v>0</v>
      </c>
      <c r="G634" s="221">
        <v>2</v>
      </c>
      <c r="H634" s="221">
        <f>(F634*G634+F635*G635+F636*G636+F637*G637+F638*G638+F639*G639+F640*G640)/100</f>
        <v>3.395</v>
      </c>
    </row>
    <row r="635" spans="2:8" x14ac:dyDescent="0.25">
      <c r="B635" s="221">
        <v>11</v>
      </c>
      <c r="C635" s="221">
        <v>25</v>
      </c>
      <c r="D635" s="221"/>
      <c r="E635" s="221"/>
      <c r="F635" s="221">
        <v>0</v>
      </c>
      <c r="G635" s="221">
        <v>2.5</v>
      </c>
      <c r="H635" s="221"/>
    </row>
    <row r="636" spans="2:8" x14ac:dyDescent="0.25">
      <c r="B636" s="221">
        <v>26</v>
      </c>
      <c r="C636" s="221">
        <v>55</v>
      </c>
      <c r="D636" s="221">
        <v>29</v>
      </c>
      <c r="E636" s="221">
        <v>55</v>
      </c>
      <c r="F636" s="221">
        <f t="shared" ref="F636:F640" si="71">E636-D636+1</f>
        <v>27</v>
      </c>
      <c r="G636" s="221">
        <v>3</v>
      </c>
      <c r="H636" s="221"/>
    </row>
    <row r="637" spans="2:8" x14ac:dyDescent="0.25">
      <c r="B637" s="221">
        <v>56</v>
      </c>
      <c r="C637" s="221">
        <v>85</v>
      </c>
      <c r="D637" s="221">
        <v>56</v>
      </c>
      <c r="E637" s="221">
        <v>85</v>
      </c>
      <c r="F637" s="221">
        <f t="shared" si="71"/>
        <v>30</v>
      </c>
      <c r="G637" s="221">
        <v>3</v>
      </c>
      <c r="H637" s="221"/>
    </row>
    <row r="638" spans="2:8" x14ac:dyDescent="0.25">
      <c r="B638" s="221">
        <v>86</v>
      </c>
      <c r="C638" s="221">
        <v>100</v>
      </c>
      <c r="D638" s="221">
        <v>86</v>
      </c>
      <c r="E638" s="221">
        <v>100</v>
      </c>
      <c r="F638" s="221">
        <f t="shared" si="71"/>
        <v>15</v>
      </c>
      <c r="G638" s="221">
        <v>3.5</v>
      </c>
      <c r="H638" s="221"/>
    </row>
    <row r="639" spans="2:8" x14ac:dyDescent="0.25">
      <c r="B639" s="221">
        <v>101</v>
      </c>
      <c r="C639" s="221">
        <v>110</v>
      </c>
      <c r="D639" s="221">
        <v>101</v>
      </c>
      <c r="E639" s="221">
        <v>110</v>
      </c>
      <c r="F639" s="221">
        <f t="shared" si="71"/>
        <v>10</v>
      </c>
      <c r="G639" s="221">
        <v>4</v>
      </c>
      <c r="H639" s="221"/>
    </row>
    <row r="640" spans="2:8" x14ac:dyDescent="0.25">
      <c r="B640" s="221">
        <v>111</v>
      </c>
      <c r="C640" s="221">
        <v>120</v>
      </c>
      <c r="D640" s="221">
        <v>111</v>
      </c>
      <c r="E640" s="221">
        <v>129</v>
      </c>
      <c r="F640" s="221">
        <f t="shared" si="71"/>
        <v>19</v>
      </c>
      <c r="G640" s="221">
        <v>4</v>
      </c>
      <c r="H640" s="221"/>
    </row>
    <row r="641" spans="2:8" x14ac:dyDescent="0.25">
      <c r="B641" s="218"/>
      <c r="C641" s="218"/>
      <c r="D641" s="218"/>
      <c r="E641" s="218"/>
      <c r="F641" s="218"/>
      <c r="G641" s="218"/>
      <c r="H641" s="218"/>
    </row>
    <row r="642" spans="2:8" x14ac:dyDescent="0.25">
      <c r="B642" s="386" t="s">
        <v>346</v>
      </c>
      <c r="C642" s="386"/>
      <c r="D642" s="386"/>
      <c r="E642" s="386"/>
      <c r="F642" s="386"/>
      <c r="G642" s="221"/>
      <c r="H642" s="221"/>
    </row>
    <row r="643" spans="2:8" x14ac:dyDescent="0.25">
      <c r="B643" s="386" t="s">
        <v>254</v>
      </c>
      <c r="C643" s="386"/>
      <c r="D643" s="386" t="s">
        <v>254</v>
      </c>
      <c r="E643" s="386"/>
      <c r="F643" s="192" t="s">
        <v>313</v>
      </c>
      <c r="G643" s="221" t="s">
        <v>314</v>
      </c>
      <c r="H643" s="221" t="s">
        <v>316</v>
      </c>
    </row>
    <row r="644" spans="2:8" x14ac:dyDescent="0.25">
      <c r="B644" s="221">
        <v>0</v>
      </c>
      <c r="C644" s="221">
        <v>10</v>
      </c>
      <c r="D644" s="221"/>
      <c r="E644" s="221"/>
      <c r="F644" s="221">
        <v>0</v>
      </c>
      <c r="G644" s="221">
        <v>2</v>
      </c>
      <c r="H644" s="221">
        <f>(F644*G644+F645*G645+F646*G646+F647*G647+F648*G648+F649*G649+F650*G650)/100</f>
        <v>3.4049999999999998</v>
      </c>
    </row>
    <row r="645" spans="2:8" x14ac:dyDescent="0.25">
      <c r="B645" s="221">
        <v>11</v>
      </c>
      <c r="C645" s="221">
        <v>25</v>
      </c>
      <c r="D645" s="221"/>
      <c r="E645" s="221"/>
      <c r="F645" s="221">
        <v>0</v>
      </c>
      <c r="G645" s="221">
        <v>2.5</v>
      </c>
      <c r="H645" s="221"/>
    </row>
    <row r="646" spans="2:8" x14ac:dyDescent="0.25">
      <c r="B646" s="221">
        <v>26</v>
      </c>
      <c r="C646" s="221">
        <v>55</v>
      </c>
      <c r="D646" s="221">
        <v>30</v>
      </c>
      <c r="E646" s="221">
        <v>55</v>
      </c>
      <c r="F646" s="221">
        <f t="shared" ref="F646:F650" si="72">E646-D646+1</f>
        <v>26</v>
      </c>
      <c r="G646" s="221">
        <v>3</v>
      </c>
      <c r="H646" s="221"/>
    </row>
    <row r="647" spans="2:8" x14ac:dyDescent="0.25">
      <c r="B647" s="221">
        <v>56</v>
      </c>
      <c r="C647" s="221">
        <v>85</v>
      </c>
      <c r="D647" s="221">
        <v>56</v>
      </c>
      <c r="E647" s="221">
        <v>85</v>
      </c>
      <c r="F647" s="221">
        <f t="shared" si="72"/>
        <v>30</v>
      </c>
      <c r="G647" s="221">
        <v>3</v>
      </c>
      <c r="H647" s="221"/>
    </row>
    <row r="648" spans="2:8" x14ac:dyDescent="0.25">
      <c r="B648" s="221">
        <v>86</v>
      </c>
      <c r="C648" s="221">
        <v>100</v>
      </c>
      <c r="D648" s="221">
        <v>86</v>
      </c>
      <c r="E648" s="221">
        <v>100</v>
      </c>
      <c r="F648" s="221">
        <f t="shared" si="72"/>
        <v>15</v>
      </c>
      <c r="G648" s="221">
        <v>3.5</v>
      </c>
      <c r="H648" s="221"/>
    </row>
    <row r="649" spans="2:8" x14ac:dyDescent="0.25">
      <c r="B649" s="221">
        <v>101</v>
      </c>
      <c r="C649" s="221">
        <v>110</v>
      </c>
      <c r="D649" s="221">
        <v>101</v>
      </c>
      <c r="E649" s="221">
        <v>110</v>
      </c>
      <c r="F649" s="221">
        <f t="shared" si="72"/>
        <v>10</v>
      </c>
      <c r="G649" s="221">
        <v>4</v>
      </c>
      <c r="H649" s="221"/>
    </row>
    <row r="650" spans="2:8" x14ac:dyDescent="0.25">
      <c r="B650" s="221">
        <v>111</v>
      </c>
      <c r="C650" s="221">
        <v>120</v>
      </c>
      <c r="D650" s="221">
        <v>111</v>
      </c>
      <c r="E650" s="221">
        <v>130</v>
      </c>
      <c r="F650" s="221">
        <f t="shared" si="72"/>
        <v>20</v>
      </c>
      <c r="G650" s="221">
        <v>4</v>
      </c>
      <c r="H650" s="221"/>
    </row>
    <row r="651" spans="2:8" x14ac:dyDescent="0.25">
      <c r="B651" s="218"/>
      <c r="C651" s="218"/>
      <c r="D651" s="218"/>
      <c r="E651" s="218"/>
      <c r="F651" s="218"/>
      <c r="G651" s="218"/>
      <c r="H651" s="218"/>
    </row>
    <row r="652" spans="2:8" x14ac:dyDescent="0.25">
      <c r="B652" s="386" t="s">
        <v>347</v>
      </c>
      <c r="C652" s="386"/>
      <c r="D652" s="386"/>
      <c r="E652" s="386"/>
      <c r="F652" s="386"/>
      <c r="G652" s="221"/>
      <c r="H652" s="221"/>
    </row>
    <row r="653" spans="2:8" x14ac:dyDescent="0.25">
      <c r="B653" s="386" t="s">
        <v>254</v>
      </c>
      <c r="C653" s="386"/>
      <c r="D653" s="386" t="s">
        <v>254</v>
      </c>
      <c r="E653" s="386"/>
      <c r="F653" s="192" t="s">
        <v>313</v>
      </c>
      <c r="G653" s="221" t="s">
        <v>314</v>
      </c>
      <c r="H653" s="221" t="s">
        <v>316</v>
      </c>
    </row>
    <row r="654" spans="2:8" x14ac:dyDescent="0.25">
      <c r="B654" s="221">
        <v>0</v>
      </c>
      <c r="C654" s="221">
        <v>10</v>
      </c>
      <c r="D654" s="221"/>
      <c r="E654" s="221"/>
      <c r="F654" s="221">
        <v>0</v>
      </c>
      <c r="G654" s="221">
        <v>2</v>
      </c>
      <c r="H654" s="221">
        <f>(F654*G654+F655*G655+F656*G656+F657*G657+F658*G658+F659*G659+F660*G660)/100</f>
        <v>3.415</v>
      </c>
    </row>
    <row r="655" spans="2:8" x14ac:dyDescent="0.25">
      <c r="B655" s="221">
        <v>11</v>
      </c>
      <c r="C655" s="221">
        <v>25</v>
      </c>
      <c r="D655" s="221"/>
      <c r="E655" s="221"/>
      <c r="F655" s="221">
        <v>0</v>
      </c>
      <c r="G655" s="221">
        <v>2.5</v>
      </c>
      <c r="H655" s="221"/>
    </row>
    <row r="656" spans="2:8" x14ac:dyDescent="0.25">
      <c r="B656" s="221">
        <v>26</v>
      </c>
      <c r="C656" s="221">
        <v>55</v>
      </c>
      <c r="D656" s="221">
        <v>31</v>
      </c>
      <c r="E656" s="221">
        <v>55</v>
      </c>
      <c r="F656" s="221">
        <f t="shared" ref="F656:F660" si="73">E656-D656+1</f>
        <v>25</v>
      </c>
      <c r="G656" s="221">
        <v>3</v>
      </c>
      <c r="H656" s="221"/>
    </row>
    <row r="657" spans="2:22" x14ac:dyDescent="0.25">
      <c r="B657" s="221">
        <v>56</v>
      </c>
      <c r="C657" s="221">
        <v>85</v>
      </c>
      <c r="D657" s="221">
        <v>56</v>
      </c>
      <c r="E657" s="221">
        <v>85</v>
      </c>
      <c r="F657" s="221">
        <f t="shared" si="73"/>
        <v>30</v>
      </c>
      <c r="G657" s="221">
        <v>3</v>
      </c>
      <c r="H657" s="221"/>
    </row>
    <row r="658" spans="2:22" x14ac:dyDescent="0.25">
      <c r="B658" s="221">
        <v>86</v>
      </c>
      <c r="C658" s="221">
        <v>100</v>
      </c>
      <c r="D658" s="221">
        <v>86</v>
      </c>
      <c r="E658" s="221">
        <v>100</v>
      </c>
      <c r="F658" s="221">
        <f t="shared" si="73"/>
        <v>15</v>
      </c>
      <c r="G658" s="221">
        <v>3.5</v>
      </c>
      <c r="H658" s="221"/>
    </row>
    <row r="659" spans="2:22" x14ac:dyDescent="0.25">
      <c r="B659" s="221">
        <v>101</v>
      </c>
      <c r="C659" s="221">
        <v>110</v>
      </c>
      <c r="D659" s="221">
        <v>101</v>
      </c>
      <c r="E659" s="221">
        <v>110</v>
      </c>
      <c r="F659" s="221">
        <f t="shared" si="73"/>
        <v>10</v>
      </c>
      <c r="G659" s="221">
        <v>4</v>
      </c>
      <c r="H659" s="221"/>
    </row>
    <row r="660" spans="2:22" x14ac:dyDescent="0.25">
      <c r="B660" s="221">
        <v>111</v>
      </c>
      <c r="C660" s="221">
        <v>120</v>
      </c>
      <c r="D660" s="221">
        <v>111</v>
      </c>
      <c r="E660" s="221">
        <v>131</v>
      </c>
      <c r="F660" s="221">
        <f t="shared" si="73"/>
        <v>21</v>
      </c>
      <c r="G660" s="221">
        <v>4</v>
      </c>
      <c r="H660" s="221"/>
    </row>
    <row r="671" spans="2:22" ht="15.75" thickBot="1" x14ac:dyDescent="0.3">
      <c r="B671" s="246" t="s">
        <v>418</v>
      </c>
      <c r="C671" s="246"/>
      <c r="D671" s="246"/>
      <c r="E671" s="246"/>
      <c r="F671" s="246"/>
      <c r="G671" s="246"/>
      <c r="H671" s="246"/>
      <c r="I671" s="246"/>
      <c r="J671" s="246"/>
      <c r="K671" s="246"/>
      <c r="L671" s="246"/>
      <c r="M671" s="246"/>
      <c r="N671" s="246"/>
      <c r="O671" s="246"/>
      <c r="P671" s="246"/>
      <c r="Q671" s="246"/>
      <c r="R671" s="246"/>
      <c r="S671" s="246"/>
      <c r="T671" s="246"/>
      <c r="U671" s="246"/>
      <c r="V671" s="246"/>
    </row>
    <row r="672" spans="2:22" ht="15.75" thickBot="1" x14ac:dyDescent="0.3">
      <c r="B672" s="386" t="s">
        <v>317</v>
      </c>
      <c r="C672" s="386"/>
      <c r="D672" s="386"/>
      <c r="E672" s="386"/>
      <c r="F672" s="386"/>
      <c r="G672" s="247"/>
      <c r="H672" s="247"/>
      <c r="I672" s="246"/>
      <c r="J672" s="246"/>
      <c r="K672" s="389" t="s">
        <v>277</v>
      </c>
      <c r="L672" s="369"/>
      <c r="M672" s="369"/>
      <c r="N672" s="369"/>
      <c r="O672" s="369"/>
      <c r="P672" s="369"/>
      <c r="Q672" s="368"/>
      <c r="R672" s="388" t="s">
        <v>388</v>
      </c>
      <c r="S672" s="377"/>
      <c r="T672" s="377"/>
      <c r="U672" s="377"/>
      <c r="V672" s="377"/>
    </row>
    <row r="673" spans="2:22" ht="15.75" thickBot="1" x14ac:dyDescent="0.3">
      <c r="B673" s="386" t="s">
        <v>254</v>
      </c>
      <c r="C673" s="386"/>
      <c r="D673" s="386" t="s">
        <v>254</v>
      </c>
      <c r="E673" s="386"/>
      <c r="F673" s="192" t="s">
        <v>313</v>
      </c>
      <c r="G673" s="247" t="s">
        <v>314</v>
      </c>
      <c r="H673" s="247" t="s">
        <v>316</v>
      </c>
      <c r="I673" s="246"/>
      <c r="J673" s="246"/>
      <c r="K673" s="164"/>
      <c r="L673" s="171" t="s">
        <v>264</v>
      </c>
      <c r="M673" s="172" t="s">
        <v>265</v>
      </c>
      <c r="N673" s="172" t="s">
        <v>266</v>
      </c>
      <c r="O673" s="172" t="s">
        <v>267</v>
      </c>
      <c r="P673" s="172" t="s">
        <v>268</v>
      </c>
      <c r="Q673" s="173" t="s">
        <v>269</v>
      </c>
      <c r="R673" s="388" t="s">
        <v>254</v>
      </c>
      <c r="S673" s="385"/>
      <c r="T673" s="190" t="s">
        <v>313</v>
      </c>
      <c r="U673" s="246" t="s">
        <v>314</v>
      </c>
      <c r="V673" s="246" t="s">
        <v>316</v>
      </c>
    </row>
    <row r="674" spans="2:22" x14ac:dyDescent="0.25">
      <c r="B674" s="247">
        <v>0</v>
      </c>
      <c r="C674" s="247">
        <v>10</v>
      </c>
      <c r="D674" s="247">
        <v>1</v>
      </c>
      <c r="E674" s="247">
        <v>10</v>
      </c>
      <c r="F674" s="247">
        <f>E674-D674+1</f>
        <v>10</v>
      </c>
      <c r="G674" s="246">
        <v>1.5</v>
      </c>
      <c r="H674" s="247">
        <f>(F674*G674+F675*G675+F676*G676+F677*G677+F678*G678+F679*G679)/100</f>
        <v>2.66</v>
      </c>
      <c r="I674" s="246"/>
      <c r="J674" s="246"/>
      <c r="K674" s="136" t="s">
        <v>270</v>
      </c>
      <c r="L674" s="161">
        <v>2</v>
      </c>
      <c r="M674" s="162">
        <v>1.5</v>
      </c>
      <c r="N674" s="162">
        <v>1</v>
      </c>
      <c r="O674" s="162">
        <v>2</v>
      </c>
      <c r="P674" s="162">
        <v>1.5</v>
      </c>
      <c r="Q674" s="163">
        <v>1.5</v>
      </c>
      <c r="R674" s="246">
        <v>0</v>
      </c>
      <c r="S674" s="246">
        <v>10</v>
      </c>
      <c r="T674" s="246">
        <f>S674-R674+1</f>
        <v>11</v>
      </c>
      <c r="U674" s="246">
        <v>1.5</v>
      </c>
      <c r="V674" s="246">
        <f>(U674*T674+U675*T675+U676*T676+U677*T677+U678*T678)/100</f>
        <v>2.64</v>
      </c>
    </row>
    <row r="675" spans="2:22" x14ac:dyDescent="0.25">
      <c r="B675" s="247">
        <v>11</v>
      </c>
      <c r="C675" s="247">
        <v>25</v>
      </c>
      <c r="D675" s="247">
        <v>11</v>
      </c>
      <c r="E675" s="247">
        <v>25</v>
      </c>
      <c r="F675" s="247">
        <f t="shared" ref="F675:F679" si="74">E675-D675+1</f>
        <v>15</v>
      </c>
      <c r="G675" s="246">
        <v>2</v>
      </c>
      <c r="H675" s="247"/>
      <c r="I675" s="246"/>
      <c r="J675" s="246"/>
      <c r="K675" s="157" t="s">
        <v>271</v>
      </c>
      <c r="L675" s="158">
        <v>2.5</v>
      </c>
      <c r="M675" s="159">
        <v>2</v>
      </c>
      <c r="N675" s="159">
        <v>1.5</v>
      </c>
      <c r="O675" s="159">
        <v>2.5</v>
      </c>
      <c r="P675" s="159">
        <v>2</v>
      </c>
      <c r="Q675" s="160">
        <v>2</v>
      </c>
      <c r="R675" s="246">
        <v>11</v>
      </c>
      <c r="S675" s="246">
        <v>25</v>
      </c>
      <c r="T675" s="246">
        <f t="shared" ref="T675:T678" si="75">S675-R675+1</f>
        <v>15</v>
      </c>
      <c r="U675" s="246">
        <v>2</v>
      </c>
      <c r="V675" s="246"/>
    </row>
    <row r="676" spans="2:22" x14ac:dyDescent="0.25">
      <c r="B676" s="247">
        <v>26</v>
      </c>
      <c r="C676" s="247">
        <v>55</v>
      </c>
      <c r="D676" s="247">
        <v>26</v>
      </c>
      <c r="E676" s="247">
        <v>55</v>
      </c>
      <c r="F676" s="247">
        <f t="shared" si="74"/>
        <v>30</v>
      </c>
      <c r="G676" s="246">
        <v>2.5</v>
      </c>
      <c r="H676" s="247"/>
      <c r="I676" s="246"/>
      <c r="J676" s="246"/>
      <c r="K676" s="138" t="s">
        <v>272</v>
      </c>
      <c r="L676" s="150">
        <v>3</v>
      </c>
      <c r="M676" s="151">
        <v>2.5</v>
      </c>
      <c r="N676" s="151">
        <v>1.5</v>
      </c>
      <c r="O676" s="151">
        <v>3</v>
      </c>
      <c r="P676" s="151">
        <v>2.5</v>
      </c>
      <c r="Q676" s="152">
        <v>2.5</v>
      </c>
      <c r="R676" s="246">
        <v>26</v>
      </c>
      <c r="S676" s="246">
        <v>55</v>
      </c>
      <c r="T676" s="246">
        <f t="shared" si="75"/>
        <v>30</v>
      </c>
      <c r="U676" s="246">
        <v>2.5</v>
      </c>
      <c r="V676" s="246"/>
    </row>
    <row r="677" spans="2:22" x14ac:dyDescent="0.25">
      <c r="B677" s="247">
        <v>56</v>
      </c>
      <c r="C677" s="247">
        <v>85</v>
      </c>
      <c r="D677" s="247">
        <v>56</v>
      </c>
      <c r="E677" s="247">
        <v>85</v>
      </c>
      <c r="F677" s="247">
        <f t="shared" si="74"/>
        <v>30</v>
      </c>
      <c r="G677" s="246">
        <v>3</v>
      </c>
      <c r="H677" s="247"/>
      <c r="I677" s="246"/>
      <c r="J677" s="246"/>
      <c r="K677" s="137" t="s">
        <v>273</v>
      </c>
      <c r="L677" s="147">
        <v>3</v>
      </c>
      <c r="M677" s="148">
        <v>3</v>
      </c>
      <c r="N677" s="148">
        <v>1.5</v>
      </c>
      <c r="O677" s="148">
        <v>3</v>
      </c>
      <c r="P677" s="148">
        <v>3</v>
      </c>
      <c r="Q677" s="149">
        <v>3</v>
      </c>
      <c r="R677" s="246">
        <v>56</v>
      </c>
      <c r="S677" s="246">
        <v>85</v>
      </c>
      <c r="T677" s="246">
        <f t="shared" si="75"/>
        <v>30</v>
      </c>
      <c r="U677" s="246">
        <v>3</v>
      </c>
      <c r="V677" s="246"/>
    </row>
    <row r="678" spans="2:22" x14ac:dyDescent="0.25">
      <c r="B678" s="247">
        <v>86</v>
      </c>
      <c r="C678" s="247">
        <v>100</v>
      </c>
      <c r="D678" s="247">
        <v>86</v>
      </c>
      <c r="E678" s="247">
        <v>100</v>
      </c>
      <c r="F678" s="247">
        <f t="shared" si="74"/>
        <v>15</v>
      </c>
      <c r="G678" s="246">
        <v>3.5</v>
      </c>
      <c r="H678" s="247"/>
      <c r="I678" s="246"/>
      <c r="J678" s="246"/>
      <c r="K678" s="153" t="s">
        <v>274</v>
      </c>
      <c r="L678" s="154">
        <v>3.5</v>
      </c>
      <c r="M678" s="155">
        <v>3.5</v>
      </c>
      <c r="N678" s="155">
        <v>2</v>
      </c>
      <c r="O678" s="155">
        <v>3.5</v>
      </c>
      <c r="P678" s="155">
        <v>3</v>
      </c>
      <c r="Q678" s="156">
        <v>3</v>
      </c>
      <c r="R678" s="246">
        <v>86</v>
      </c>
      <c r="S678" s="246">
        <v>100</v>
      </c>
      <c r="T678" s="246">
        <f t="shared" si="75"/>
        <v>15</v>
      </c>
      <c r="U678" s="246">
        <v>3.5</v>
      </c>
      <c r="V678" s="246"/>
    </row>
    <row r="679" spans="2:22" x14ac:dyDescent="0.25">
      <c r="B679" s="247">
        <v>101</v>
      </c>
      <c r="C679" s="247">
        <v>110</v>
      </c>
      <c r="D679" s="247">
        <v>101</v>
      </c>
      <c r="E679" s="247">
        <v>101</v>
      </c>
      <c r="F679" s="247">
        <f t="shared" si="74"/>
        <v>1</v>
      </c>
      <c r="G679" s="246">
        <v>3.5</v>
      </c>
      <c r="H679" s="247"/>
      <c r="I679" s="246"/>
      <c r="J679" s="246"/>
      <c r="K679" s="143" t="s">
        <v>275</v>
      </c>
      <c r="L679" s="144">
        <v>4</v>
      </c>
      <c r="M679" s="248">
        <v>3.5</v>
      </c>
      <c r="N679" s="248">
        <v>2</v>
      </c>
      <c r="O679" s="248">
        <v>3.5</v>
      </c>
      <c r="P679" s="248">
        <v>3</v>
      </c>
      <c r="Q679" s="146">
        <v>3</v>
      </c>
      <c r="R679" s="246">
        <v>101</v>
      </c>
      <c r="S679" s="246">
        <v>110</v>
      </c>
      <c r="T679" s="246"/>
      <c r="U679" s="246">
        <v>3.5</v>
      </c>
      <c r="V679" s="246"/>
    </row>
    <row r="680" spans="2:22" ht="15.75" thickBot="1" x14ac:dyDescent="0.3">
      <c r="B680" s="247">
        <v>111</v>
      </c>
      <c r="C680" s="247">
        <v>120</v>
      </c>
      <c r="D680" s="247"/>
      <c r="E680" s="247"/>
      <c r="F680" s="247"/>
      <c r="G680" s="246">
        <v>4</v>
      </c>
      <c r="H680" s="247"/>
      <c r="I680" s="246"/>
      <c r="J680" s="246"/>
      <c r="K680" s="139" t="s">
        <v>276</v>
      </c>
      <c r="L680" s="140">
        <v>4</v>
      </c>
      <c r="M680" s="141">
        <v>4</v>
      </c>
      <c r="N680" s="141">
        <v>2.5</v>
      </c>
      <c r="O680" s="141">
        <v>3.5</v>
      </c>
      <c r="P680" s="141">
        <v>3</v>
      </c>
      <c r="Q680" s="142">
        <v>3</v>
      </c>
      <c r="R680" s="246">
        <v>111</v>
      </c>
      <c r="S680" s="246">
        <v>120</v>
      </c>
      <c r="T680" s="246"/>
      <c r="U680" s="246">
        <v>4</v>
      </c>
      <c r="V680" s="246"/>
    </row>
    <row r="681" spans="2:22" x14ac:dyDescent="0.25">
      <c r="B681" s="246"/>
      <c r="C681" s="246"/>
      <c r="D681" s="246"/>
      <c r="E681" s="246"/>
      <c r="F681" s="246"/>
      <c r="G681" s="246"/>
      <c r="H681" s="246"/>
      <c r="I681" s="246"/>
      <c r="J681" s="246"/>
      <c r="K681" s="246"/>
      <c r="L681" s="246"/>
      <c r="M681" s="246"/>
      <c r="N681" s="246"/>
      <c r="O681" s="246"/>
      <c r="P681" s="246"/>
      <c r="Q681" s="246"/>
      <c r="R681" s="246"/>
      <c r="S681" s="246"/>
      <c r="T681" s="246"/>
      <c r="U681" s="246"/>
      <c r="V681" s="246"/>
    </row>
    <row r="682" spans="2:22" x14ac:dyDescent="0.25">
      <c r="B682" s="246"/>
      <c r="C682" s="246"/>
      <c r="D682" s="246"/>
      <c r="E682" s="246"/>
      <c r="F682" s="246"/>
      <c r="G682" s="246"/>
      <c r="H682" s="246"/>
      <c r="I682" s="246"/>
      <c r="J682" s="246"/>
      <c r="K682" s="246"/>
      <c r="L682" s="246"/>
      <c r="M682" s="246"/>
      <c r="N682" s="246"/>
      <c r="O682" s="246"/>
      <c r="P682" s="246"/>
      <c r="Q682" s="246"/>
      <c r="R682" s="246"/>
      <c r="S682" s="246"/>
      <c r="T682" s="246"/>
      <c r="U682" s="246"/>
      <c r="V682" s="246"/>
    </row>
    <row r="683" spans="2:22" x14ac:dyDescent="0.25">
      <c r="B683" s="386" t="s">
        <v>318</v>
      </c>
      <c r="C683" s="386"/>
      <c r="D683" s="386"/>
      <c r="E683" s="386"/>
      <c r="F683" s="386"/>
      <c r="G683" s="247"/>
      <c r="H683" s="247"/>
      <c r="I683" s="246"/>
      <c r="J683" s="246"/>
      <c r="K683" s="246"/>
      <c r="L683" s="246"/>
      <c r="M683" s="246"/>
      <c r="N683" s="246"/>
      <c r="O683" s="246"/>
      <c r="P683" s="246"/>
      <c r="Q683" s="246"/>
      <c r="R683" s="246"/>
      <c r="S683" s="246"/>
      <c r="T683" s="246"/>
      <c r="U683" s="246"/>
      <c r="V683" s="246"/>
    </row>
    <row r="684" spans="2:22" x14ac:dyDescent="0.25">
      <c r="B684" s="386" t="s">
        <v>254</v>
      </c>
      <c r="C684" s="386"/>
      <c r="D684" s="386" t="s">
        <v>254</v>
      </c>
      <c r="E684" s="386"/>
      <c r="F684" s="192" t="s">
        <v>313</v>
      </c>
      <c r="G684" s="247" t="s">
        <v>314</v>
      </c>
      <c r="H684" s="247" t="s">
        <v>316</v>
      </c>
      <c r="I684" s="246"/>
      <c r="J684" s="246"/>
      <c r="K684" s="246"/>
      <c r="L684" s="246"/>
      <c r="M684" s="246"/>
      <c r="N684" s="246"/>
      <c r="O684" s="246"/>
      <c r="P684" s="246"/>
      <c r="Q684" s="246"/>
      <c r="R684" s="246"/>
      <c r="S684" s="246"/>
      <c r="T684" s="246"/>
      <c r="U684" s="246"/>
      <c r="V684" s="246"/>
    </row>
    <row r="685" spans="2:22" x14ac:dyDescent="0.25">
      <c r="B685" s="247">
        <v>0</v>
      </c>
      <c r="C685" s="247">
        <v>10</v>
      </c>
      <c r="D685" s="247">
        <v>2</v>
      </c>
      <c r="E685" s="247">
        <v>10</v>
      </c>
      <c r="F685" s="247">
        <f>E685-D685+1</f>
        <v>9</v>
      </c>
      <c r="G685" s="246">
        <v>1.5</v>
      </c>
      <c r="H685" s="247">
        <f>(F685*G685+F686*G686+F687*G687+F688*G688+F689*G689+F690*G690)/100</f>
        <v>2.68</v>
      </c>
      <c r="I685" s="246"/>
      <c r="J685" s="246"/>
      <c r="K685" s="246"/>
      <c r="L685" s="246"/>
      <c r="M685" s="246"/>
      <c r="N685" s="246"/>
      <c r="O685" s="246"/>
      <c r="P685" s="246"/>
      <c r="Q685" s="246"/>
      <c r="R685" s="246"/>
      <c r="S685" s="246"/>
      <c r="T685" s="246"/>
      <c r="U685" s="246"/>
      <c r="V685" s="246"/>
    </row>
    <row r="686" spans="2:22" x14ac:dyDescent="0.25">
      <c r="B686" s="247">
        <v>11</v>
      </c>
      <c r="C686" s="247">
        <v>25</v>
      </c>
      <c r="D686" s="247">
        <v>11</v>
      </c>
      <c r="E686" s="247">
        <v>25</v>
      </c>
      <c r="F686" s="247">
        <f t="shared" ref="F686:F690" si="76">E686-D686+1</f>
        <v>15</v>
      </c>
      <c r="G686" s="246">
        <v>2</v>
      </c>
      <c r="H686" s="247"/>
      <c r="I686" s="246"/>
      <c r="J686" s="246"/>
      <c r="K686" s="246"/>
      <c r="L686" s="246"/>
      <c r="M686" s="246"/>
      <c r="N686" s="246"/>
      <c r="O686" s="246"/>
      <c r="P686" s="246"/>
      <c r="Q686" s="246"/>
      <c r="R686" s="246"/>
      <c r="S686" s="246"/>
      <c r="T686" s="246"/>
      <c r="U686" s="246"/>
      <c r="V686" s="246"/>
    </row>
    <row r="687" spans="2:22" x14ac:dyDescent="0.25">
      <c r="B687" s="247">
        <v>26</v>
      </c>
      <c r="C687" s="247">
        <v>55</v>
      </c>
      <c r="D687" s="247">
        <v>26</v>
      </c>
      <c r="E687" s="247">
        <v>55</v>
      </c>
      <c r="F687" s="247">
        <f t="shared" si="76"/>
        <v>30</v>
      </c>
      <c r="G687" s="246">
        <v>2.5</v>
      </c>
      <c r="H687" s="247"/>
      <c r="I687" s="246"/>
      <c r="J687" s="246"/>
      <c r="K687" s="246"/>
      <c r="L687" s="246"/>
      <c r="M687" s="246"/>
      <c r="N687" s="246"/>
      <c r="O687" s="246"/>
      <c r="P687" s="246"/>
      <c r="Q687" s="246"/>
      <c r="R687" s="246"/>
      <c r="S687" s="246"/>
      <c r="T687" s="246"/>
      <c r="U687" s="246"/>
      <c r="V687" s="246"/>
    </row>
    <row r="688" spans="2:22" x14ac:dyDescent="0.25">
      <c r="B688" s="247">
        <v>56</v>
      </c>
      <c r="C688" s="247">
        <v>85</v>
      </c>
      <c r="D688" s="247">
        <v>56</v>
      </c>
      <c r="E688" s="247">
        <v>85</v>
      </c>
      <c r="F688" s="247">
        <f t="shared" si="76"/>
        <v>30</v>
      </c>
      <c r="G688" s="246">
        <v>3</v>
      </c>
      <c r="H688" s="247"/>
      <c r="I688" s="246"/>
      <c r="J688" s="246"/>
      <c r="K688" s="246"/>
      <c r="L688" s="246"/>
      <c r="M688" s="246"/>
      <c r="N688" s="246"/>
      <c r="O688" s="246"/>
      <c r="P688" s="246"/>
      <c r="Q688" s="246"/>
      <c r="R688" s="246"/>
      <c r="S688" s="246"/>
      <c r="T688" s="246"/>
      <c r="U688" s="246"/>
      <c r="V688" s="246"/>
    </row>
    <row r="689" spans="2:22" x14ac:dyDescent="0.25">
      <c r="B689" s="247">
        <v>86</v>
      </c>
      <c r="C689" s="247">
        <v>100</v>
      </c>
      <c r="D689" s="247">
        <v>86</v>
      </c>
      <c r="E689" s="247">
        <v>100</v>
      </c>
      <c r="F689" s="247">
        <f t="shared" si="76"/>
        <v>15</v>
      </c>
      <c r="G689" s="246">
        <v>3.5</v>
      </c>
      <c r="H689" s="247"/>
      <c r="I689" s="246"/>
      <c r="J689" s="246"/>
      <c r="K689" s="246"/>
      <c r="L689" s="246"/>
      <c r="M689" s="246"/>
      <c r="N689" s="246"/>
      <c r="O689" s="246"/>
      <c r="P689" s="246"/>
      <c r="Q689" s="246"/>
      <c r="R689" s="246"/>
      <c r="S689" s="246"/>
      <c r="T689" s="246"/>
      <c r="U689" s="246"/>
      <c r="V689" s="246"/>
    </row>
    <row r="690" spans="2:22" x14ac:dyDescent="0.25">
      <c r="B690" s="247">
        <v>101</v>
      </c>
      <c r="C690" s="247">
        <v>110</v>
      </c>
      <c r="D690" s="247">
        <v>101</v>
      </c>
      <c r="E690" s="247">
        <v>102</v>
      </c>
      <c r="F690" s="247">
        <f t="shared" si="76"/>
        <v>2</v>
      </c>
      <c r="G690" s="246">
        <v>3.5</v>
      </c>
      <c r="H690" s="247"/>
      <c r="I690" s="246"/>
      <c r="J690" s="246"/>
      <c r="K690" s="246"/>
      <c r="L690" s="246"/>
      <c r="M690" s="246"/>
      <c r="N690" s="246"/>
      <c r="O690" s="246"/>
      <c r="P690" s="246"/>
      <c r="Q690" s="246"/>
      <c r="R690" s="246"/>
      <c r="S690" s="246"/>
      <c r="T690" s="246"/>
      <c r="U690" s="246"/>
      <c r="V690" s="246"/>
    </row>
    <row r="691" spans="2:22" x14ac:dyDescent="0.25">
      <c r="B691" s="247">
        <v>111</v>
      </c>
      <c r="C691" s="247">
        <v>120</v>
      </c>
      <c r="D691" s="247"/>
      <c r="E691" s="247"/>
      <c r="F691" s="247"/>
      <c r="G691" s="246">
        <v>4</v>
      </c>
      <c r="H691" s="247"/>
      <c r="I691" s="246"/>
      <c r="J691" s="246"/>
      <c r="K691" s="246"/>
      <c r="L691" s="246"/>
      <c r="M691" s="246"/>
      <c r="N691" s="246"/>
      <c r="O691" s="246"/>
      <c r="P691" s="246"/>
      <c r="Q691" s="246"/>
      <c r="R691" s="246"/>
      <c r="S691" s="246"/>
      <c r="T691" s="246"/>
      <c r="U691" s="246"/>
      <c r="V691" s="246"/>
    </row>
    <row r="692" spans="2:22" x14ac:dyDescent="0.25">
      <c r="B692" s="246"/>
      <c r="C692" s="246"/>
      <c r="D692" s="246"/>
      <c r="E692" s="246"/>
      <c r="F692" s="246"/>
      <c r="G692" s="246"/>
      <c r="H692" s="246"/>
      <c r="I692" s="246"/>
      <c r="J692" s="246"/>
      <c r="K692" s="246"/>
      <c r="L692" s="246"/>
      <c r="M692" s="246"/>
      <c r="N692" s="246"/>
      <c r="O692" s="246"/>
      <c r="P692" s="246"/>
      <c r="Q692" s="246"/>
      <c r="R692" s="246"/>
      <c r="S692" s="246"/>
      <c r="T692" s="246"/>
      <c r="U692" s="246"/>
      <c r="V692" s="246"/>
    </row>
    <row r="693" spans="2:22" x14ac:dyDescent="0.25">
      <c r="B693" s="386" t="s">
        <v>320</v>
      </c>
      <c r="C693" s="386"/>
      <c r="D693" s="386"/>
      <c r="E693" s="386"/>
      <c r="F693" s="386"/>
      <c r="G693" s="247"/>
      <c r="H693" s="247"/>
      <c r="I693" s="246"/>
      <c r="J693" s="246"/>
      <c r="K693" s="246"/>
      <c r="L693" s="246"/>
      <c r="M693" s="246"/>
      <c r="N693" s="246"/>
      <c r="O693" s="246"/>
      <c r="P693" s="246"/>
      <c r="Q693" s="246"/>
      <c r="R693" s="246"/>
      <c r="S693" s="246"/>
      <c r="T693" s="246"/>
      <c r="U693" s="246"/>
      <c r="V693" s="246"/>
    </row>
    <row r="694" spans="2:22" x14ac:dyDescent="0.25">
      <c r="B694" s="386" t="s">
        <v>254</v>
      </c>
      <c r="C694" s="386"/>
      <c r="D694" s="386" t="s">
        <v>254</v>
      </c>
      <c r="E694" s="386"/>
      <c r="F694" s="192" t="s">
        <v>313</v>
      </c>
      <c r="G694" s="247" t="s">
        <v>314</v>
      </c>
      <c r="H694" s="247" t="s">
        <v>316</v>
      </c>
      <c r="I694" s="246"/>
      <c r="J694" s="246"/>
      <c r="K694" s="246"/>
      <c r="L694" s="246"/>
      <c r="M694" s="246"/>
      <c r="N694" s="246"/>
      <c r="O694" s="246"/>
      <c r="P694" s="246"/>
      <c r="Q694" s="246"/>
      <c r="R694" s="246"/>
      <c r="S694" s="246"/>
      <c r="T694" s="246"/>
      <c r="U694" s="246"/>
      <c r="V694" s="246"/>
    </row>
    <row r="695" spans="2:22" x14ac:dyDescent="0.25">
      <c r="B695" s="247">
        <v>0</v>
      </c>
      <c r="C695" s="247">
        <v>10</v>
      </c>
      <c r="D695" s="247">
        <v>3</v>
      </c>
      <c r="E695" s="247">
        <v>10</v>
      </c>
      <c r="F695" s="247">
        <f>E695-D695+1</f>
        <v>8</v>
      </c>
      <c r="G695" s="246">
        <v>1.5</v>
      </c>
      <c r="H695" s="247">
        <f>(F695*G695+F696*G696+F697*G697+F698*G698+F699*G699+F700*G700)/100</f>
        <v>2.7</v>
      </c>
      <c r="I695" s="246"/>
      <c r="J695" s="246"/>
      <c r="K695" s="246"/>
      <c r="L695" s="246"/>
      <c r="M695" s="246"/>
      <c r="N695" s="246"/>
      <c r="O695" s="246"/>
      <c r="P695" s="246"/>
      <c r="Q695" s="246"/>
      <c r="R695" s="246"/>
      <c r="S695" s="246"/>
      <c r="T695" s="246"/>
      <c r="U695" s="246"/>
      <c r="V695" s="246"/>
    </row>
    <row r="696" spans="2:22" x14ac:dyDescent="0.25">
      <c r="B696" s="247">
        <v>11</v>
      </c>
      <c r="C696" s="247">
        <v>25</v>
      </c>
      <c r="D696" s="247">
        <v>11</v>
      </c>
      <c r="E696" s="247">
        <v>25</v>
      </c>
      <c r="F696" s="247">
        <f t="shared" ref="F696:F700" si="77">E696-D696+1</f>
        <v>15</v>
      </c>
      <c r="G696" s="246">
        <v>2</v>
      </c>
      <c r="H696" s="247"/>
      <c r="I696" s="246"/>
      <c r="J696" s="246"/>
      <c r="K696" s="246"/>
      <c r="L696" s="246"/>
      <c r="M696" s="246"/>
      <c r="N696" s="246"/>
      <c r="O696" s="246"/>
      <c r="P696" s="246"/>
      <c r="Q696" s="246"/>
      <c r="R696" s="246"/>
      <c r="S696" s="246"/>
      <c r="T696" s="246"/>
      <c r="U696" s="246"/>
      <c r="V696" s="246"/>
    </row>
    <row r="697" spans="2:22" x14ac:dyDescent="0.25">
      <c r="B697" s="247">
        <v>26</v>
      </c>
      <c r="C697" s="247">
        <v>55</v>
      </c>
      <c r="D697" s="247">
        <v>26</v>
      </c>
      <c r="E697" s="247">
        <v>55</v>
      </c>
      <c r="F697" s="247">
        <f t="shared" si="77"/>
        <v>30</v>
      </c>
      <c r="G697" s="246">
        <v>2.5</v>
      </c>
      <c r="H697" s="247"/>
      <c r="I697" s="246"/>
      <c r="J697" s="246"/>
      <c r="K697" s="246"/>
      <c r="L697" s="246"/>
      <c r="M697" s="246"/>
      <c r="N697" s="246"/>
      <c r="O697" s="246"/>
      <c r="P697" s="246"/>
      <c r="Q697" s="246"/>
      <c r="R697" s="246"/>
      <c r="S697" s="246"/>
      <c r="T697" s="246"/>
      <c r="U697" s="246"/>
      <c r="V697" s="246"/>
    </row>
    <row r="698" spans="2:22" x14ac:dyDescent="0.25">
      <c r="B698" s="247">
        <v>56</v>
      </c>
      <c r="C698" s="247">
        <v>85</v>
      </c>
      <c r="D698" s="247">
        <v>56</v>
      </c>
      <c r="E698" s="247">
        <v>85</v>
      </c>
      <c r="F698" s="247">
        <f t="shared" si="77"/>
        <v>30</v>
      </c>
      <c r="G698" s="246">
        <v>3</v>
      </c>
      <c r="H698" s="247"/>
      <c r="I698" s="246"/>
      <c r="J698" s="246"/>
      <c r="K698" s="246"/>
      <c r="L698" s="246"/>
      <c r="M698" s="246"/>
      <c r="N698" s="246"/>
      <c r="O698" s="246"/>
      <c r="P698" s="246"/>
      <c r="Q698" s="246"/>
      <c r="R698" s="246"/>
      <c r="S698" s="246"/>
      <c r="T698" s="246"/>
      <c r="U698" s="246"/>
      <c r="V698" s="246"/>
    </row>
    <row r="699" spans="2:22" x14ac:dyDescent="0.25">
      <c r="B699" s="247">
        <v>86</v>
      </c>
      <c r="C699" s="247">
        <v>100</v>
      </c>
      <c r="D699" s="247">
        <v>86</v>
      </c>
      <c r="E699" s="247">
        <v>100</v>
      </c>
      <c r="F699" s="247">
        <f t="shared" si="77"/>
        <v>15</v>
      </c>
      <c r="G699" s="246">
        <v>3.5</v>
      </c>
      <c r="H699" s="247"/>
      <c r="I699" s="246"/>
      <c r="J699" s="246"/>
      <c r="K699" s="246"/>
      <c r="L699" s="246"/>
      <c r="M699" s="246"/>
      <c r="N699" s="246"/>
      <c r="O699" s="246"/>
      <c r="P699" s="246"/>
      <c r="Q699" s="246"/>
      <c r="R699" s="246"/>
      <c r="S699" s="246"/>
      <c r="T699" s="246"/>
      <c r="U699" s="246"/>
      <c r="V699" s="246"/>
    </row>
    <row r="700" spans="2:22" x14ac:dyDescent="0.25">
      <c r="B700" s="247">
        <v>101</v>
      </c>
      <c r="C700" s="247">
        <v>110</v>
      </c>
      <c r="D700" s="247">
        <v>101</v>
      </c>
      <c r="E700" s="247">
        <v>103</v>
      </c>
      <c r="F700" s="247">
        <f t="shared" si="77"/>
        <v>3</v>
      </c>
      <c r="G700" s="246">
        <v>3.5</v>
      </c>
      <c r="H700" s="247"/>
      <c r="I700" s="246"/>
      <c r="J700" s="246"/>
      <c r="K700" s="246"/>
      <c r="L700" s="246"/>
      <c r="M700" s="246"/>
      <c r="N700" s="246"/>
      <c r="O700" s="246"/>
      <c r="P700" s="246"/>
      <c r="Q700" s="246"/>
      <c r="R700" s="246"/>
      <c r="S700" s="246"/>
      <c r="T700" s="246"/>
      <c r="U700" s="246"/>
      <c r="V700" s="246"/>
    </row>
    <row r="701" spans="2:22" x14ac:dyDescent="0.25">
      <c r="B701" s="247">
        <v>111</v>
      </c>
      <c r="C701" s="247">
        <v>120</v>
      </c>
      <c r="D701" s="247"/>
      <c r="E701" s="247"/>
      <c r="F701" s="247"/>
      <c r="G701" s="246">
        <v>4</v>
      </c>
      <c r="H701" s="247"/>
      <c r="I701" s="246"/>
      <c r="J701" s="246"/>
      <c r="K701" s="246"/>
      <c r="L701" s="246"/>
      <c r="M701" s="246"/>
      <c r="N701" s="246"/>
      <c r="O701" s="246"/>
      <c r="P701" s="246"/>
      <c r="Q701" s="246"/>
      <c r="R701" s="246"/>
      <c r="S701" s="246"/>
      <c r="T701" s="246"/>
      <c r="U701" s="246"/>
      <c r="V701" s="246"/>
    </row>
    <row r="702" spans="2:22" x14ac:dyDescent="0.25">
      <c r="B702" s="246"/>
      <c r="C702" s="246"/>
      <c r="D702" s="246"/>
      <c r="E702" s="246"/>
      <c r="F702" s="246"/>
      <c r="G702" s="246"/>
      <c r="H702" s="246"/>
      <c r="I702" s="246"/>
      <c r="J702" s="246"/>
      <c r="K702" s="246"/>
      <c r="L702" s="246"/>
      <c r="M702" s="246"/>
      <c r="N702" s="246"/>
      <c r="O702" s="246"/>
      <c r="P702" s="246"/>
      <c r="Q702" s="246"/>
      <c r="R702" s="246"/>
      <c r="S702" s="246"/>
      <c r="T702" s="246"/>
      <c r="U702" s="246"/>
      <c r="V702" s="246"/>
    </row>
    <row r="703" spans="2:22" x14ac:dyDescent="0.25">
      <c r="B703" s="386" t="s">
        <v>321</v>
      </c>
      <c r="C703" s="386"/>
      <c r="D703" s="386"/>
      <c r="E703" s="386"/>
      <c r="F703" s="386"/>
      <c r="G703" s="247"/>
      <c r="H703" s="247"/>
      <c r="I703" s="246"/>
      <c r="J703" s="246"/>
      <c r="K703" s="246"/>
      <c r="L703" s="246"/>
      <c r="M703" s="246"/>
      <c r="N703" s="246"/>
      <c r="O703" s="246"/>
      <c r="P703" s="246"/>
      <c r="Q703" s="246"/>
      <c r="R703" s="246"/>
      <c r="S703" s="246"/>
      <c r="T703" s="246"/>
      <c r="U703" s="246"/>
      <c r="V703" s="246"/>
    </row>
    <row r="704" spans="2:22" x14ac:dyDescent="0.25">
      <c r="B704" s="386" t="s">
        <v>254</v>
      </c>
      <c r="C704" s="386"/>
      <c r="D704" s="386" t="s">
        <v>254</v>
      </c>
      <c r="E704" s="386"/>
      <c r="F704" s="192" t="s">
        <v>313</v>
      </c>
      <c r="G704" s="247" t="s">
        <v>314</v>
      </c>
      <c r="H704" s="247" t="s">
        <v>316</v>
      </c>
      <c r="I704" s="246"/>
      <c r="J704" s="246"/>
      <c r="K704" s="246"/>
      <c r="L704" s="246"/>
      <c r="M704" s="246"/>
      <c r="N704" s="246"/>
      <c r="O704" s="246"/>
      <c r="P704" s="246"/>
      <c r="Q704" s="246"/>
      <c r="R704" s="246"/>
      <c r="S704" s="246"/>
      <c r="T704" s="246"/>
      <c r="U704" s="246"/>
      <c r="V704" s="246"/>
    </row>
    <row r="705" spans="2:22" x14ac:dyDescent="0.25">
      <c r="B705" s="247">
        <v>0</v>
      </c>
      <c r="C705" s="247">
        <v>10</v>
      </c>
      <c r="D705" s="247">
        <v>4</v>
      </c>
      <c r="E705" s="247">
        <v>10</v>
      </c>
      <c r="F705" s="247">
        <f>E705-D705+1</f>
        <v>7</v>
      </c>
      <c r="G705" s="246">
        <v>1.5</v>
      </c>
      <c r="H705" s="247">
        <f>(F705*G705+F706*G706+F707*G707+F708*G708+F709*G709+F710*G710)/100</f>
        <v>2.72</v>
      </c>
      <c r="I705" s="246"/>
      <c r="J705" s="246"/>
      <c r="K705" s="246"/>
      <c r="L705" s="246"/>
      <c r="M705" s="246"/>
      <c r="N705" s="246"/>
      <c r="O705" s="246"/>
      <c r="P705" s="246"/>
      <c r="Q705" s="246"/>
      <c r="R705" s="246"/>
      <c r="S705" s="246"/>
      <c r="T705" s="246"/>
      <c r="U705" s="246"/>
      <c r="V705" s="246"/>
    </row>
    <row r="706" spans="2:22" x14ac:dyDescent="0.25">
      <c r="B706" s="247">
        <v>11</v>
      </c>
      <c r="C706" s="247">
        <v>25</v>
      </c>
      <c r="D706" s="247">
        <v>11</v>
      </c>
      <c r="E706" s="247">
        <v>25</v>
      </c>
      <c r="F706" s="247">
        <f t="shared" ref="F706:F710" si="78">E706-D706+1</f>
        <v>15</v>
      </c>
      <c r="G706" s="246">
        <v>2</v>
      </c>
      <c r="H706" s="247"/>
      <c r="I706" s="246"/>
      <c r="J706" s="246"/>
      <c r="K706" s="246"/>
      <c r="L706" s="246"/>
      <c r="M706" s="246"/>
      <c r="N706" s="246"/>
      <c r="O706" s="246"/>
      <c r="P706" s="246"/>
      <c r="Q706" s="246"/>
      <c r="R706" s="246"/>
      <c r="S706" s="246"/>
      <c r="T706" s="246"/>
      <c r="U706" s="246"/>
      <c r="V706" s="246"/>
    </row>
    <row r="707" spans="2:22" x14ac:dyDescent="0.25">
      <c r="B707" s="247">
        <v>26</v>
      </c>
      <c r="C707" s="247">
        <v>55</v>
      </c>
      <c r="D707" s="247">
        <v>26</v>
      </c>
      <c r="E707" s="247">
        <v>55</v>
      </c>
      <c r="F707" s="247">
        <f t="shared" si="78"/>
        <v>30</v>
      </c>
      <c r="G707" s="246">
        <v>2.5</v>
      </c>
      <c r="H707" s="247"/>
      <c r="I707" s="246"/>
      <c r="J707" s="246"/>
      <c r="K707" s="246"/>
      <c r="L707" s="246"/>
      <c r="M707" s="246"/>
      <c r="N707" s="246"/>
      <c r="O707" s="246"/>
      <c r="P707" s="246"/>
      <c r="Q707" s="246"/>
      <c r="R707" s="246"/>
      <c r="S707" s="246"/>
      <c r="T707" s="246"/>
      <c r="U707" s="246"/>
      <c r="V707" s="246"/>
    </row>
    <row r="708" spans="2:22" x14ac:dyDescent="0.25">
      <c r="B708" s="247">
        <v>56</v>
      </c>
      <c r="C708" s="247">
        <v>85</v>
      </c>
      <c r="D708" s="247">
        <v>56</v>
      </c>
      <c r="E708" s="247">
        <v>85</v>
      </c>
      <c r="F708" s="247">
        <f t="shared" si="78"/>
        <v>30</v>
      </c>
      <c r="G708" s="246">
        <v>3</v>
      </c>
      <c r="H708" s="247"/>
      <c r="I708" s="246"/>
      <c r="J708" s="246"/>
      <c r="K708" s="246"/>
      <c r="L708" s="246"/>
      <c r="M708" s="246"/>
      <c r="N708" s="246"/>
      <c r="O708" s="246"/>
      <c r="P708" s="246"/>
      <c r="Q708" s="246"/>
      <c r="R708" s="246"/>
      <c r="S708" s="246"/>
      <c r="T708" s="246"/>
      <c r="U708" s="246"/>
      <c r="V708" s="246"/>
    </row>
    <row r="709" spans="2:22" x14ac:dyDescent="0.25">
      <c r="B709" s="247">
        <v>86</v>
      </c>
      <c r="C709" s="247">
        <v>100</v>
      </c>
      <c r="D709" s="247">
        <v>86</v>
      </c>
      <c r="E709" s="247">
        <v>100</v>
      </c>
      <c r="F709" s="247">
        <f t="shared" si="78"/>
        <v>15</v>
      </c>
      <c r="G709" s="246">
        <v>3.5</v>
      </c>
      <c r="H709" s="247"/>
      <c r="I709" s="246"/>
      <c r="J709" s="246"/>
      <c r="K709" s="246"/>
      <c r="L709" s="246"/>
      <c r="M709" s="246"/>
      <c r="N709" s="246"/>
      <c r="O709" s="246"/>
      <c r="P709" s="246"/>
      <c r="Q709" s="246"/>
      <c r="R709" s="246"/>
      <c r="S709" s="246"/>
      <c r="T709" s="246"/>
      <c r="U709" s="246"/>
      <c r="V709" s="246"/>
    </row>
    <row r="710" spans="2:22" x14ac:dyDescent="0.25">
      <c r="B710" s="247">
        <v>101</v>
      </c>
      <c r="C710" s="247">
        <v>110</v>
      </c>
      <c r="D710" s="247">
        <v>101</v>
      </c>
      <c r="E710" s="247">
        <v>104</v>
      </c>
      <c r="F710" s="247">
        <f t="shared" si="78"/>
        <v>4</v>
      </c>
      <c r="G710" s="246">
        <v>3.5</v>
      </c>
      <c r="H710" s="247"/>
      <c r="I710" s="246"/>
      <c r="J710" s="246"/>
      <c r="K710" s="246"/>
      <c r="L710" s="246"/>
      <c r="M710" s="246"/>
      <c r="N710" s="246"/>
      <c r="O710" s="246"/>
      <c r="P710" s="246"/>
      <c r="Q710" s="246"/>
      <c r="R710" s="246"/>
      <c r="S710" s="246"/>
      <c r="T710" s="246"/>
      <c r="U710" s="246"/>
      <c r="V710" s="246"/>
    </row>
    <row r="711" spans="2:22" x14ac:dyDescent="0.25">
      <c r="B711" s="247">
        <v>111</v>
      </c>
      <c r="C711" s="247">
        <v>120</v>
      </c>
      <c r="D711" s="247"/>
      <c r="E711" s="247"/>
      <c r="F711" s="247"/>
      <c r="G711" s="246">
        <v>4</v>
      </c>
      <c r="H711" s="247"/>
      <c r="I711" s="246"/>
      <c r="J711" s="246"/>
      <c r="K711" s="246"/>
      <c r="L711" s="246"/>
      <c r="M711" s="246"/>
      <c r="N711" s="246"/>
      <c r="O711" s="246"/>
      <c r="P711" s="246"/>
      <c r="Q711" s="246"/>
      <c r="R711" s="246"/>
      <c r="S711" s="246"/>
      <c r="T711" s="246"/>
      <c r="U711" s="246"/>
      <c r="V711" s="246"/>
    </row>
    <row r="712" spans="2:22" x14ac:dyDescent="0.25">
      <c r="B712" s="246"/>
      <c r="C712" s="246"/>
      <c r="D712" s="246"/>
      <c r="E712" s="246"/>
      <c r="F712" s="246"/>
      <c r="G712" s="246"/>
      <c r="H712" s="246"/>
      <c r="I712" s="246"/>
      <c r="J712" s="246"/>
      <c r="K712" s="246"/>
      <c r="L712" s="246"/>
      <c r="M712" s="246"/>
      <c r="N712" s="246"/>
      <c r="O712" s="246"/>
      <c r="P712" s="246"/>
      <c r="Q712" s="246"/>
      <c r="R712" s="246"/>
      <c r="S712" s="246"/>
      <c r="T712" s="246"/>
      <c r="U712" s="246"/>
      <c r="V712" s="246"/>
    </row>
    <row r="713" spans="2:22" x14ac:dyDescent="0.25">
      <c r="B713" s="386" t="s">
        <v>322</v>
      </c>
      <c r="C713" s="386"/>
      <c r="D713" s="386"/>
      <c r="E713" s="386"/>
      <c r="F713" s="386"/>
      <c r="G713" s="247"/>
      <c r="H713" s="247"/>
      <c r="I713" s="246"/>
      <c r="J713" s="246"/>
      <c r="K713" s="246"/>
      <c r="L713" s="246"/>
      <c r="M713" s="246"/>
      <c r="N713" s="246"/>
      <c r="O713" s="246"/>
      <c r="P713" s="246"/>
      <c r="Q713" s="246"/>
      <c r="R713" s="246"/>
      <c r="S713" s="246"/>
      <c r="T713" s="246"/>
      <c r="U713" s="246"/>
      <c r="V713" s="246"/>
    </row>
    <row r="714" spans="2:22" x14ac:dyDescent="0.25">
      <c r="B714" s="386" t="s">
        <v>254</v>
      </c>
      <c r="C714" s="386"/>
      <c r="D714" s="386" t="s">
        <v>254</v>
      </c>
      <c r="E714" s="386"/>
      <c r="F714" s="192" t="s">
        <v>313</v>
      </c>
      <c r="G714" s="247" t="s">
        <v>314</v>
      </c>
      <c r="H714" s="247" t="s">
        <v>316</v>
      </c>
      <c r="I714" s="246"/>
      <c r="J714" s="246"/>
      <c r="K714" s="246"/>
      <c r="L714" s="246"/>
      <c r="M714" s="246"/>
      <c r="N714" s="246"/>
      <c r="O714" s="246"/>
      <c r="P714" s="246"/>
      <c r="Q714" s="246"/>
      <c r="R714" s="246"/>
      <c r="S714" s="246"/>
      <c r="T714" s="246"/>
      <c r="U714" s="246"/>
      <c r="V714" s="246"/>
    </row>
    <row r="715" spans="2:22" x14ac:dyDescent="0.25">
      <c r="B715" s="247">
        <v>0</v>
      </c>
      <c r="C715" s="247">
        <v>10</v>
      </c>
      <c r="D715" s="247">
        <v>5</v>
      </c>
      <c r="E715" s="247">
        <v>10</v>
      </c>
      <c r="F715" s="247">
        <f>E715-D715+1</f>
        <v>6</v>
      </c>
      <c r="G715" s="246">
        <v>1.5</v>
      </c>
      <c r="H715" s="247">
        <f>(F715*G715+F716*G716+F717*G717+F718*G718+F719*G719+F720*G720)/100</f>
        <v>2.74</v>
      </c>
      <c r="I715" s="246"/>
      <c r="J715" s="246"/>
      <c r="K715" s="246"/>
      <c r="L715" s="246"/>
      <c r="M715" s="246"/>
      <c r="N715" s="246"/>
      <c r="O715" s="246"/>
      <c r="P715" s="246"/>
      <c r="Q715" s="246"/>
      <c r="R715" s="246"/>
      <c r="S715" s="246"/>
      <c r="T715" s="246"/>
      <c r="U715" s="246"/>
      <c r="V715" s="246"/>
    </row>
    <row r="716" spans="2:22" x14ac:dyDescent="0.25">
      <c r="B716" s="247">
        <v>11</v>
      </c>
      <c r="C716" s="247">
        <v>25</v>
      </c>
      <c r="D716" s="247">
        <v>11</v>
      </c>
      <c r="E716" s="247">
        <v>25</v>
      </c>
      <c r="F716" s="247">
        <f t="shared" ref="F716:F720" si="79">E716-D716+1</f>
        <v>15</v>
      </c>
      <c r="G716" s="246">
        <v>2</v>
      </c>
      <c r="H716" s="247"/>
      <c r="I716" s="246"/>
      <c r="J716" s="246"/>
      <c r="K716" s="246"/>
      <c r="L716" s="246"/>
      <c r="M716" s="246"/>
      <c r="N716" s="246"/>
      <c r="O716" s="246"/>
      <c r="P716" s="246"/>
      <c r="Q716" s="246"/>
      <c r="R716" s="246"/>
      <c r="S716" s="246"/>
      <c r="T716" s="246"/>
      <c r="U716" s="246"/>
      <c r="V716" s="246"/>
    </row>
    <row r="717" spans="2:22" x14ac:dyDescent="0.25">
      <c r="B717" s="247">
        <v>26</v>
      </c>
      <c r="C717" s="247">
        <v>55</v>
      </c>
      <c r="D717" s="247">
        <v>26</v>
      </c>
      <c r="E717" s="247">
        <v>55</v>
      </c>
      <c r="F717" s="247">
        <f t="shared" si="79"/>
        <v>30</v>
      </c>
      <c r="G717" s="246">
        <v>2.5</v>
      </c>
      <c r="H717" s="247"/>
      <c r="I717" s="246"/>
      <c r="J717" s="246"/>
      <c r="K717" s="246"/>
      <c r="L717" s="246"/>
      <c r="M717" s="246"/>
      <c r="N717" s="246"/>
      <c r="O717" s="246"/>
      <c r="P717" s="246"/>
      <c r="Q717" s="246"/>
      <c r="R717" s="246"/>
      <c r="S717" s="246"/>
      <c r="T717" s="246"/>
      <c r="U717" s="246"/>
      <c r="V717" s="246"/>
    </row>
    <row r="718" spans="2:22" x14ac:dyDescent="0.25">
      <c r="B718" s="247">
        <v>56</v>
      </c>
      <c r="C718" s="247">
        <v>85</v>
      </c>
      <c r="D718" s="247">
        <v>56</v>
      </c>
      <c r="E718" s="247">
        <v>85</v>
      </c>
      <c r="F718" s="247">
        <f t="shared" si="79"/>
        <v>30</v>
      </c>
      <c r="G718" s="246">
        <v>3</v>
      </c>
      <c r="H718" s="247"/>
      <c r="I718" s="246"/>
      <c r="J718" s="246"/>
      <c r="K718" s="246"/>
      <c r="L718" s="246"/>
      <c r="M718" s="246"/>
      <c r="N718" s="246"/>
      <c r="O718" s="246"/>
      <c r="P718" s="246"/>
      <c r="Q718" s="246"/>
      <c r="R718" s="246"/>
      <c r="S718" s="246"/>
      <c r="T718" s="246"/>
      <c r="U718" s="246"/>
      <c r="V718" s="246"/>
    </row>
    <row r="719" spans="2:22" x14ac:dyDescent="0.25">
      <c r="B719" s="247">
        <v>86</v>
      </c>
      <c r="C719" s="247">
        <v>100</v>
      </c>
      <c r="D719" s="247">
        <v>86</v>
      </c>
      <c r="E719" s="247">
        <v>100</v>
      </c>
      <c r="F719" s="247">
        <f t="shared" si="79"/>
        <v>15</v>
      </c>
      <c r="G719" s="246">
        <v>3.5</v>
      </c>
      <c r="H719" s="247"/>
      <c r="I719" s="246"/>
      <c r="J719" s="246"/>
      <c r="K719" s="246"/>
      <c r="L719" s="246"/>
      <c r="M719" s="246"/>
      <c r="N719" s="246"/>
      <c r="O719" s="246"/>
      <c r="P719" s="246"/>
      <c r="Q719" s="246"/>
      <c r="R719" s="246"/>
      <c r="S719" s="246"/>
      <c r="T719" s="246"/>
      <c r="U719" s="246"/>
      <c r="V719" s="246"/>
    </row>
    <row r="720" spans="2:22" x14ac:dyDescent="0.25">
      <c r="B720" s="247">
        <v>101</v>
      </c>
      <c r="C720" s="247">
        <v>110</v>
      </c>
      <c r="D720" s="247">
        <v>101</v>
      </c>
      <c r="E720" s="247">
        <v>105</v>
      </c>
      <c r="F720" s="247">
        <f t="shared" si="79"/>
        <v>5</v>
      </c>
      <c r="G720" s="246">
        <v>3.5</v>
      </c>
      <c r="H720" s="247"/>
      <c r="I720" s="246"/>
      <c r="J720" s="246"/>
      <c r="K720" s="246"/>
      <c r="L720" s="246"/>
      <c r="M720" s="246"/>
      <c r="N720" s="246"/>
      <c r="O720" s="246"/>
      <c r="P720" s="246"/>
      <c r="Q720" s="246"/>
      <c r="R720" s="246"/>
      <c r="S720" s="246"/>
      <c r="T720" s="246"/>
      <c r="U720" s="246"/>
      <c r="V720" s="246"/>
    </row>
    <row r="721" spans="2:22" x14ac:dyDescent="0.25">
      <c r="B721" s="247">
        <v>111</v>
      </c>
      <c r="C721" s="247">
        <v>120</v>
      </c>
      <c r="D721" s="247"/>
      <c r="E721" s="247"/>
      <c r="F721" s="247"/>
      <c r="G721" s="246">
        <v>4</v>
      </c>
      <c r="H721" s="247"/>
      <c r="I721" s="246"/>
      <c r="J721" s="246"/>
      <c r="K721" s="246"/>
      <c r="L721" s="246"/>
      <c r="M721" s="246"/>
      <c r="N721" s="246"/>
      <c r="O721" s="246"/>
      <c r="P721" s="246"/>
      <c r="Q721" s="246"/>
      <c r="R721" s="246"/>
      <c r="S721" s="246"/>
      <c r="T721" s="246"/>
      <c r="U721" s="246"/>
      <c r="V721" s="246"/>
    </row>
    <row r="722" spans="2:22" x14ac:dyDescent="0.25">
      <c r="B722" s="246"/>
      <c r="C722" s="246"/>
      <c r="D722" s="246"/>
      <c r="E722" s="246"/>
      <c r="F722" s="246"/>
      <c r="G722" s="246"/>
      <c r="H722" s="246"/>
      <c r="I722" s="246"/>
      <c r="J722" s="246"/>
      <c r="K722" s="246"/>
      <c r="L722" s="246"/>
      <c r="M722" s="246"/>
      <c r="N722" s="246"/>
      <c r="O722" s="246"/>
      <c r="P722" s="246"/>
      <c r="Q722" s="246"/>
      <c r="R722" s="246"/>
      <c r="S722" s="246"/>
      <c r="T722" s="246"/>
      <c r="U722" s="246"/>
      <c r="V722" s="246"/>
    </row>
    <row r="723" spans="2:22" x14ac:dyDescent="0.25">
      <c r="B723" s="386" t="s">
        <v>323</v>
      </c>
      <c r="C723" s="386"/>
      <c r="D723" s="386"/>
      <c r="E723" s="386"/>
      <c r="F723" s="386"/>
      <c r="G723" s="247"/>
      <c r="H723" s="247"/>
      <c r="I723" s="246"/>
      <c r="J723" s="246"/>
      <c r="K723" s="246"/>
      <c r="L723" s="246"/>
      <c r="M723" s="246"/>
      <c r="N723" s="246"/>
      <c r="O723" s="246"/>
      <c r="P723" s="246"/>
      <c r="Q723" s="246"/>
      <c r="R723" s="246"/>
      <c r="S723" s="246"/>
      <c r="T723" s="246"/>
      <c r="U723" s="246"/>
      <c r="V723" s="246"/>
    </row>
    <row r="724" spans="2:22" x14ac:dyDescent="0.25">
      <c r="B724" s="386" t="s">
        <v>254</v>
      </c>
      <c r="C724" s="386"/>
      <c r="D724" s="386" t="s">
        <v>254</v>
      </c>
      <c r="E724" s="386"/>
      <c r="F724" s="192" t="s">
        <v>313</v>
      </c>
      <c r="G724" s="247" t="s">
        <v>314</v>
      </c>
      <c r="H724" s="247" t="s">
        <v>316</v>
      </c>
      <c r="I724" s="246"/>
      <c r="J724" s="246"/>
      <c r="K724" s="246"/>
      <c r="L724" s="246"/>
      <c r="M724" s="246"/>
      <c r="N724" s="246"/>
      <c r="O724" s="246"/>
      <c r="P724" s="246"/>
      <c r="Q724" s="246"/>
      <c r="R724" s="246"/>
      <c r="S724" s="246"/>
      <c r="T724" s="246"/>
      <c r="U724" s="246"/>
      <c r="V724" s="246"/>
    </row>
    <row r="725" spans="2:22" x14ac:dyDescent="0.25">
      <c r="B725" s="247">
        <v>0</v>
      </c>
      <c r="C725" s="247">
        <v>10</v>
      </c>
      <c r="D725" s="247">
        <v>6</v>
      </c>
      <c r="E725" s="247">
        <v>10</v>
      </c>
      <c r="F725" s="247">
        <f>E725-D725+1</f>
        <v>5</v>
      </c>
      <c r="G725" s="246">
        <v>1.5</v>
      </c>
      <c r="H725" s="247">
        <f>(F725*G725+F726*G726+F727*G727+F728*G728+F729*G729+F730*G730)/100</f>
        <v>2.76</v>
      </c>
      <c r="I725" s="246"/>
      <c r="J725" s="246"/>
      <c r="K725" s="246"/>
      <c r="L725" s="246"/>
      <c r="M725" s="246"/>
      <c r="N725" s="246"/>
      <c r="O725" s="246"/>
      <c r="P725" s="246"/>
      <c r="Q725" s="246"/>
      <c r="R725" s="246"/>
      <c r="S725" s="246"/>
      <c r="T725" s="246"/>
      <c r="U725" s="246"/>
      <c r="V725" s="246"/>
    </row>
    <row r="726" spans="2:22" x14ac:dyDescent="0.25">
      <c r="B726" s="247">
        <v>11</v>
      </c>
      <c r="C726" s="247">
        <v>25</v>
      </c>
      <c r="D726" s="247">
        <v>11</v>
      </c>
      <c r="E726" s="247">
        <v>25</v>
      </c>
      <c r="F726" s="247">
        <f t="shared" ref="F726:F730" si="80">E726-D726+1</f>
        <v>15</v>
      </c>
      <c r="G726" s="246">
        <v>2</v>
      </c>
      <c r="H726" s="247"/>
      <c r="I726" s="246"/>
      <c r="J726" s="246"/>
      <c r="K726" s="246"/>
      <c r="L726" s="246"/>
      <c r="M726" s="246"/>
      <c r="N726" s="246"/>
      <c r="O726" s="246"/>
      <c r="P726" s="246"/>
      <c r="Q726" s="246"/>
      <c r="R726" s="246"/>
      <c r="S726" s="246"/>
      <c r="T726" s="246"/>
      <c r="U726" s="246"/>
      <c r="V726" s="246"/>
    </row>
    <row r="727" spans="2:22" x14ac:dyDescent="0.25">
      <c r="B727" s="247">
        <v>26</v>
      </c>
      <c r="C727" s="247">
        <v>55</v>
      </c>
      <c r="D727" s="247">
        <v>26</v>
      </c>
      <c r="E727" s="247">
        <v>55</v>
      </c>
      <c r="F727" s="247">
        <f t="shared" si="80"/>
        <v>30</v>
      </c>
      <c r="G727" s="246">
        <v>2.5</v>
      </c>
      <c r="H727" s="247"/>
      <c r="I727" s="246"/>
      <c r="J727" s="246"/>
      <c r="K727" s="246"/>
      <c r="L727" s="246"/>
      <c r="M727" s="246"/>
      <c r="N727" s="246"/>
      <c r="O727" s="246"/>
      <c r="P727" s="246"/>
      <c r="Q727" s="246"/>
      <c r="R727" s="246"/>
      <c r="S727" s="246"/>
      <c r="T727" s="246"/>
      <c r="U727" s="246"/>
      <c r="V727" s="246"/>
    </row>
    <row r="728" spans="2:22" x14ac:dyDescent="0.25">
      <c r="B728" s="247">
        <v>56</v>
      </c>
      <c r="C728" s="247">
        <v>85</v>
      </c>
      <c r="D728" s="247">
        <v>56</v>
      </c>
      <c r="E728" s="247">
        <v>85</v>
      </c>
      <c r="F728" s="247">
        <f t="shared" si="80"/>
        <v>30</v>
      </c>
      <c r="G728" s="246">
        <v>3</v>
      </c>
      <c r="H728" s="247"/>
      <c r="I728" s="246"/>
      <c r="J728" s="246"/>
      <c r="K728" s="246"/>
      <c r="L728" s="246"/>
      <c r="M728" s="246"/>
      <c r="N728" s="246"/>
      <c r="O728" s="246"/>
      <c r="P728" s="246"/>
      <c r="Q728" s="246"/>
      <c r="R728" s="246"/>
      <c r="S728" s="246"/>
      <c r="T728" s="246"/>
      <c r="U728" s="246"/>
      <c r="V728" s="246"/>
    </row>
    <row r="729" spans="2:22" x14ac:dyDescent="0.25">
      <c r="B729" s="247">
        <v>86</v>
      </c>
      <c r="C729" s="247">
        <v>100</v>
      </c>
      <c r="D729" s="247">
        <v>86</v>
      </c>
      <c r="E729" s="247">
        <v>100</v>
      </c>
      <c r="F729" s="247">
        <f t="shared" si="80"/>
        <v>15</v>
      </c>
      <c r="G729" s="246">
        <v>3.5</v>
      </c>
      <c r="H729" s="247"/>
      <c r="I729" s="246"/>
      <c r="J729" s="246"/>
      <c r="K729" s="246"/>
      <c r="L729" s="246"/>
      <c r="M729" s="246"/>
      <c r="N729" s="246"/>
      <c r="O729" s="246"/>
      <c r="P729" s="246"/>
      <c r="Q729" s="246"/>
      <c r="R729" s="246"/>
      <c r="S729" s="246"/>
      <c r="T729" s="246"/>
      <c r="U729" s="246"/>
      <c r="V729" s="246"/>
    </row>
    <row r="730" spans="2:22" x14ac:dyDescent="0.25">
      <c r="B730" s="247">
        <v>101</v>
      </c>
      <c r="C730" s="247">
        <v>110</v>
      </c>
      <c r="D730" s="247">
        <v>101</v>
      </c>
      <c r="E730" s="247">
        <v>106</v>
      </c>
      <c r="F730" s="247">
        <f t="shared" si="80"/>
        <v>6</v>
      </c>
      <c r="G730" s="246">
        <v>3.5</v>
      </c>
      <c r="H730" s="247"/>
      <c r="I730" s="246"/>
      <c r="J730" s="246"/>
      <c r="K730" s="246"/>
      <c r="L730" s="246"/>
      <c r="M730" s="246"/>
      <c r="N730" s="246"/>
      <c r="O730" s="246"/>
      <c r="P730" s="246"/>
      <c r="Q730" s="246"/>
      <c r="R730" s="246"/>
      <c r="S730" s="246"/>
      <c r="T730" s="246"/>
      <c r="U730" s="246"/>
      <c r="V730" s="246"/>
    </row>
    <row r="731" spans="2:22" x14ac:dyDescent="0.25">
      <c r="B731" s="247">
        <v>111</v>
      </c>
      <c r="C731" s="247">
        <v>120</v>
      </c>
      <c r="D731" s="247"/>
      <c r="E731" s="247"/>
      <c r="F731" s="247"/>
      <c r="G731" s="246">
        <v>4</v>
      </c>
      <c r="H731" s="247"/>
      <c r="I731" s="246"/>
      <c r="J731" s="246"/>
      <c r="K731" s="246"/>
      <c r="L731" s="246"/>
      <c r="M731" s="246"/>
      <c r="N731" s="246"/>
      <c r="O731" s="246"/>
      <c r="P731" s="246"/>
      <c r="Q731" s="246"/>
      <c r="R731" s="246"/>
      <c r="S731" s="246"/>
      <c r="T731" s="246"/>
      <c r="U731" s="246"/>
      <c r="V731" s="246"/>
    </row>
    <row r="732" spans="2:22" x14ac:dyDescent="0.25">
      <c r="B732" s="246"/>
      <c r="C732" s="246"/>
      <c r="D732" s="246"/>
      <c r="E732" s="246"/>
      <c r="F732" s="246"/>
      <c r="G732" s="246"/>
      <c r="H732" s="246"/>
      <c r="I732" s="246"/>
      <c r="J732" s="246"/>
      <c r="K732" s="246"/>
      <c r="L732" s="246"/>
      <c r="M732" s="246"/>
      <c r="N732" s="246"/>
      <c r="O732" s="246"/>
      <c r="P732" s="246"/>
      <c r="Q732" s="246"/>
      <c r="R732" s="246"/>
      <c r="S732" s="246"/>
      <c r="T732" s="246"/>
      <c r="U732" s="246"/>
      <c r="V732" s="246"/>
    </row>
    <row r="733" spans="2:22" x14ac:dyDescent="0.25">
      <c r="B733" s="386" t="s">
        <v>324</v>
      </c>
      <c r="C733" s="386"/>
      <c r="D733" s="386"/>
      <c r="E733" s="386"/>
      <c r="F733" s="386"/>
      <c r="G733" s="247"/>
      <c r="H733" s="247"/>
      <c r="I733" s="246"/>
      <c r="J733" s="246"/>
      <c r="K733" s="246"/>
      <c r="L733" s="246"/>
      <c r="M733" s="246"/>
      <c r="N733" s="246"/>
      <c r="O733" s="246"/>
      <c r="P733" s="246"/>
      <c r="Q733" s="246"/>
      <c r="R733" s="246"/>
      <c r="S733" s="246"/>
      <c r="T733" s="246"/>
      <c r="U733" s="246"/>
      <c r="V733" s="246"/>
    </row>
    <row r="734" spans="2:22" x14ac:dyDescent="0.25">
      <c r="B734" s="386" t="s">
        <v>254</v>
      </c>
      <c r="C734" s="386"/>
      <c r="D734" s="386" t="s">
        <v>254</v>
      </c>
      <c r="E734" s="386"/>
      <c r="F734" s="192" t="s">
        <v>313</v>
      </c>
      <c r="G734" s="247" t="s">
        <v>314</v>
      </c>
      <c r="H734" s="247" t="s">
        <v>316</v>
      </c>
      <c r="I734" s="246"/>
      <c r="J734" s="246"/>
      <c r="K734" s="246"/>
      <c r="L734" s="246"/>
      <c r="M734" s="246"/>
      <c r="N734" s="246"/>
      <c r="O734" s="246"/>
      <c r="P734" s="246"/>
      <c r="Q734" s="246"/>
      <c r="R734" s="246"/>
      <c r="S734" s="246"/>
      <c r="T734" s="246"/>
      <c r="U734" s="246"/>
      <c r="V734" s="246"/>
    </row>
    <row r="735" spans="2:22" x14ac:dyDescent="0.25">
      <c r="B735" s="247">
        <v>0</v>
      </c>
      <c r="C735" s="247">
        <v>10</v>
      </c>
      <c r="D735" s="247">
        <v>7</v>
      </c>
      <c r="E735" s="247">
        <v>10</v>
      </c>
      <c r="F735" s="247">
        <f>E735-D735+1</f>
        <v>4</v>
      </c>
      <c r="G735" s="246">
        <v>1.5</v>
      </c>
      <c r="H735" s="247">
        <f>(F735*G735+F736*G736+F737*G737+F738*G738+F739*G739+F740*G740)/100</f>
        <v>2.78</v>
      </c>
      <c r="I735" s="246"/>
      <c r="J735" s="246"/>
      <c r="K735" s="246"/>
      <c r="L735" s="246"/>
      <c r="M735" s="246"/>
      <c r="N735" s="246"/>
      <c r="O735" s="246"/>
      <c r="P735" s="246"/>
      <c r="Q735" s="246"/>
      <c r="R735" s="246"/>
      <c r="S735" s="246"/>
      <c r="T735" s="246"/>
      <c r="U735" s="246"/>
      <c r="V735" s="246"/>
    </row>
    <row r="736" spans="2:22" x14ac:dyDescent="0.25">
      <c r="B736" s="247">
        <v>11</v>
      </c>
      <c r="C736" s="247">
        <v>25</v>
      </c>
      <c r="D736" s="247">
        <v>11</v>
      </c>
      <c r="E736" s="247">
        <v>25</v>
      </c>
      <c r="F736" s="247">
        <f t="shared" ref="F736:F740" si="81">E736-D736+1</f>
        <v>15</v>
      </c>
      <c r="G736" s="246">
        <v>2</v>
      </c>
      <c r="H736" s="247"/>
      <c r="I736" s="246"/>
      <c r="J736" s="246"/>
      <c r="K736" s="246"/>
      <c r="L736" s="246"/>
      <c r="M736" s="246"/>
      <c r="N736" s="246"/>
      <c r="O736" s="246"/>
      <c r="P736" s="246"/>
      <c r="Q736" s="246"/>
      <c r="R736" s="246"/>
      <c r="S736" s="246"/>
      <c r="T736" s="246"/>
      <c r="U736" s="246"/>
      <c r="V736" s="246"/>
    </row>
    <row r="737" spans="2:22" x14ac:dyDescent="0.25">
      <c r="B737" s="247">
        <v>26</v>
      </c>
      <c r="C737" s="247">
        <v>55</v>
      </c>
      <c r="D737" s="247">
        <v>26</v>
      </c>
      <c r="E737" s="247">
        <v>55</v>
      </c>
      <c r="F737" s="247">
        <f t="shared" si="81"/>
        <v>30</v>
      </c>
      <c r="G737" s="246">
        <v>2.5</v>
      </c>
      <c r="H737" s="247"/>
      <c r="I737" s="246"/>
      <c r="J737" s="246"/>
      <c r="K737" s="246"/>
      <c r="L737" s="246"/>
      <c r="M737" s="246"/>
      <c r="N737" s="246"/>
      <c r="O737" s="246"/>
      <c r="P737" s="246"/>
      <c r="Q737" s="246"/>
      <c r="R737" s="246"/>
      <c r="S737" s="246"/>
      <c r="T737" s="246"/>
      <c r="U737" s="246"/>
      <c r="V737" s="246"/>
    </row>
    <row r="738" spans="2:22" x14ac:dyDescent="0.25">
      <c r="B738" s="247">
        <v>56</v>
      </c>
      <c r="C738" s="247">
        <v>85</v>
      </c>
      <c r="D738" s="247">
        <v>56</v>
      </c>
      <c r="E738" s="247">
        <v>85</v>
      </c>
      <c r="F738" s="247">
        <f t="shared" si="81"/>
        <v>30</v>
      </c>
      <c r="G738" s="246">
        <v>3</v>
      </c>
      <c r="H738" s="247"/>
      <c r="I738" s="246"/>
      <c r="J738" s="246"/>
      <c r="K738" s="246"/>
      <c r="L738" s="246"/>
      <c r="M738" s="246"/>
      <c r="N738" s="246"/>
      <c r="O738" s="246"/>
      <c r="P738" s="246"/>
      <c r="Q738" s="246"/>
      <c r="R738" s="246"/>
      <c r="S738" s="246"/>
      <c r="T738" s="246"/>
      <c r="U738" s="246"/>
      <c r="V738" s="246"/>
    </row>
    <row r="739" spans="2:22" x14ac:dyDescent="0.25">
      <c r="B739" s="247">
        <v>86</v>
      </c>
      <c r="C739" s="247">
        <v>100</v>
      </c>
      <c r="D739" s="247">
        <v>86</v>
      </c>
      <c r="E739" s="247">
        <v>100</v>
      </c>
      <c r="F739" s="247">
        <f t="shared" si="81"/>
        <v>15</v>
      </c>
      <c r="G739" s="246">
        <v>3.5</v>
      </c>
      <c r="H739" s="247"/>
      <c r="I739" s="246"/>
      <c r="J739" s="246"/>
      <c r="K739" s="246"/>
      <c r="L739" s="246"/>
      <c r="M739" s="246"/>
      <c r="N739" s="246"/>
      <c r="O739" s="246"/>
      <c r="P739" s="246"/>
      <c r="Q739" s="246"/>
      <c r="R739" s="246"/>
      <c r="S739" s="246"/>
      <c r="T739" s="246"/>
      <c r="U739" s="246"/>
      <c r="V739" s="246"/>
    </row>
    <row r="740" spans="2:22" x14ac:dyDescent="0.25">
      <c r="B740" s="247">
        <v>101</v>
      </c>
      <c r="C740" s="247">
        <v>110</v>
      </c>
      <c r="D740" s="247">
        <v>101</v>
      </c>
      <c r="E740" s="247">
        <v>107</v>
      </c>
      <c r="F740" s="247">
        <f t="shared" si="81"/>
        <v>7</v>
      </c>
      <c r="G740" s="246">
        <v>3.5</v>
      </c>
      <c r="H740" s="247"/>
      <c r="I740" s="246"/>
      <c r="J740" s="246"/>
      <c r="K740" s="246"/>
      <c r="L740" s="246"/>
      <c r="M740" s="246"/>
      <c r="N740" s="246"/>
      <c r="O740" s="246"/>
      <c r="P740" s="246"/>
      <c r="Q740" s="246"/>
      <c r="R740" s="246"/>
      <c r="S740" s="246"/>
      <c r="T740" s="246"/>
      <c r="U740" s="246"/>
      <c r="V740" s="246"/>
    </row>
    <row r="741" spans="2:22" x14ac:dyDescent="0.25">
      <c r="B741" s="247">
        <v>111</v>
      </c>
      <c r="C741" s="247">
        <v>120</v>
      </c>
      <c r="D741" s="247"/>
      <c r="E741" s="247"/>
      <c r="F741" s="247"/>
      <c r="G741" s="246">
        <v>4</v>
      </c>
      <c r="H741" s="247"/>
      <c r="I741" s="246"/>
      <c r="J741" s="246"/>
      <c r="K741" s="246"/>
      <c r="L741" s="246"/>
      <c r="M741" s="246"/>
      <c r="N741" s="246"/>
      <c r="O741" s="246"/>
      <c r="P741" s="246"/>
      <c r="Q741" s="246"/>
      <c r="R741" s="246"/>
      <c r="S741" s="246"/>
      <c r="T741" s="246"/>
      <c r="U741" s="246"/>
      <c r="V741" s="246"/>
    </row>
    <row r="742" spans="2:22" x14ac:dyDescent="0.25">
      <c r="B742" s="246"/>
      <c r="C742" s="246"/>
      <c r="D742" s="246"/>
      <c r="E742" s="246"/>
      <c r="F742" s="246"/>
      <c r="G742" s="246"/>
      <c r="H742" s="246"/>
      <c r="I742" s="246"/>
      <c r="J742" s="246"/>
      <c r="K742" s="246"/>
      <c r="L742" s="246"/>
      <c r="M742" s="246"/>
      <c r="N742" s="246"/>
      <c r="O742" s="246"/>
      <c r="P742" s="246"/>
      <c r="Q742" s="246"/>
      <c r="R742" s="246"/>
      <c r="S742" s="246"/>
      <c r="T742" s="246"/>
      <c r="U742" s="246"/>
      <c r="V742" s="246"/>
    </row>
    <row r="743" spans="2:22" x14ac:dyDescent="0.25">
      <c r="B743" s="386" t="s">
        <v>325</v>
      </c>
      <c r="C743" s="386"/>
      <c r="D743" s="386"/>
      <c r="E743" s="386"/>
      <c r="F743" s="386"/>
      <c r="G743" s="247"/>
      <c r="H743" s="247"/>
      <c r="I743" s="246"/>
      <c r="J743" s="246"/>
      <c r="K743" s="246"/>
      <c r="L743" s="246"/>
      <c r="M743" s="246"/>
      <c r="N743" s="246"/>
      <c r="O743" s="246"/>
      <c r="P743" s="246"/>
      <c r="Q743" s="246"/>
      <c r="R743" s="246"/>
      <c r="S743" s="246"/>
      <c r="T743" s="246"/>
      <c r="U743" s="246"/>
      <c r="V743" s="246"/>
    </row>
    <row r="744" spans="2:22" x14ac:dyDescent="0.25">
      <c r="B744" s="386" t="s">
        <v>254</v>
      </c>
      <c r="C744" s="386"/>
      <c r="D744" s="386" t="s">
        <v>254</v>
      </c>
      <c r="E744" s="386"/>
      <c r="F744" s="192" t="s">
        <v>313</v>
      </c>
      <c r="G744" s="247" t="s">
        <v>314</v>
      </c>
      <c r="H744" s="247" t="s">
        <v>316</v>
      </c>
      <c r="I744" s="246"/>
      <c r="J744" s="246"/>
      <c r="K744" s="246"/>
      <c r="L744" s="246"/>
      <c r="M744" s="246"/>
      <c r="N744" s="246"/>
      <c r="O744" s="246"/>
      <c r="P744" s="246"/>
      <c r="Q744" s="246"/>
      <c r="R744" s="246"/>
      <c r="S744" s="246"/>
      <c r="T744" s="246"/>
      <c r="U744" s="246"/>
      <c r="V744" s="246"/>
    </row>
    <row r="745" spans="2:22" x14ac:dyDescent="0.25">
      <c r="B745" s="247">
        <v>0</v>
      </c>
      <c r="C745" s="247">
        <v>10</v>
      </c>
      <c r="D745" s="247">
        <v>8</v>
      </c>
      <c r="E745" s="247">
        <v>10</v>
      </c>
      <c r="F745" s="247">
        <f>E745-D745+1</f>
        <v>3</v>
      </c>
      <c r="G745" s="246">
        <v>1.5</v>
      </c>
      <c r="H745" s="247">
        <f>(F745*G745+F746*G746+F747*G747+F748*G748+F749*G749+F750*G750)/100</f>
        <v>2.8</v>
      </c>
      <c r="I745" s="246"/>
      <c r="J745" s="246"/>
      <c r="K745" s="246"/>
      <c r="L745" s="246"/>
      <c r="M745" s="246"/>
      <c r="N745" s="246"/>
      <c r="O745" s="246"/>
      <c r="P745" s="246"/>
      <c r="Q745" s="246"/>
      <c r="R745" s="246"/>
      <c r="S745" s="246"/>
      <c r="T745" s="246"/>
      <c r="U745" s="246"/>
      <c r="V745" s="246"/>
    </row>
    <row r="746" spans="2:22" x14ac:dyDescent="0.25">
      <c r="B746" s="247">
        <v>11</v>
      </c>
      <c r="C746" s="247">
        <v>25</v>
      </c>
      <c r="D746" s="247">
        <v>11</v>
      </c>
      <c r="E746" s="247">
        <v>25</v>
      </c>
      <c r="F746" s="247">
        <f t="shared" ref="F746:F750" si="82">E746-D746+1</f>
        <v>15</v>
      </c>
      <c r="G746" s="246">
        <v>2</v>
      </c>
      <c r="H746" s="247"/>
      <c r="I746" s="246"/>
      <c r="J746" s="246"/>
      <c r="K746" s="246"/>
      <c r="L746" s="246"/>
      <c r="M746" s="246"/>
      <c r="N746" s="246"/>
      <c r="O746" s="246"/>
      <c r="P746" s="246"/>
      <c r="Q746" s="246"/>
      <c r="R746" s="246"/>
      <c r="S746" s="246"/>
      <c r="T746" s="246"/>
      <c r="U746" s="246"/>
      <c r="V746" s="246"/>
    </row>
    <row r="747" spans="2:22" x14ac:dyDescent="0.25">
      <c r="B747" s="247">
        <v>26</v>
      </c>
      <c r="C747" s="247">
        <v>55</v>
      </c>
      <c r="D747" s="247">
        <v>26</v>
      </c>
      <c r="E747" s="247">
        <v>55</v>
      </c>
      <c r="F747" s="247">
        <f t="shared" si="82"/>
        <v>30</v>
      </c>
      <c r="G747" s="246">
        <v>2.5</v>
      </c>
      <c r="H747" s="247"/>
      <c r="I747" s="246"/>
      <c r="J747" s="246"/>
      <c r="K747" s="246"/>
      <c r="L747" s="246"/>
      <c r="M747" s="246"/>
      <c r="N747" s="246"/>
      <c r="O747" s="246"/>
      <c r="P747" s="246"/>
      <c r="Q747" s="246"/>
      <c r="R747" s="246"/>
      <c r="S747" s="246"/>
      <c r="T747" s="246"/>
      <c r="U747" s="246"/>
      <c r="V747" s="246"/>
    </row>
    <row r="748" spans="2:22" x14ac:dyDescent="0.25">
      <c r="B748" s="247">
        <v>56</v>
      </c>
      <c r="C748" s="247">
        <v>85</v>
      </c>
      <c r="D748" s="247">
        <v>56</v>
      </c>
      <c r="E748" s="247">
        <v>85</v>
      </c>
      <c r="F748" s="247">
        <f t="shared" si="82"/>
        <v>30</v>
      </c>
      <c r="G748" s="246">
        <v>3</v>
      </c>
      <c r="H748" s="247"/>
      <c r="I748" s="246"/>
      <c r="J748" s="246"/>
      <c r="K748" s="246"/>
      <c r="L748" s="246"/>
      <c r="M748" s="246"/>
      <c r="N748" s="246"/>
      <c r="O748" s="246"/>
      <c r="P748" s="246"/>
      <c r="Q748" s="246"/>
      <c r="R748" s="246"/>
      <c r="S748" s="246"/>
      <c r="T748" s="246"/>
      <c r="U748" s="246"/>
      <c r="V748" s="246"/>
    </row>
    <row r="749" spans="2:22" x14ac:dyDescent="0.25">
      <c r="B749" s="247">
        <v>86</v>
      </c>
      <c r="C749" s="247">
        <v>100</v>
      </c>
      <c r="D749" s="247">
        <v>86</v>
      </c>
      <c r="E749" s="247">
        <v>100</v>
      </c>
      <c r="F749" s="247">
        <f t="shared" si="82"/>
        <v>15</v>
      </c>
      <c r="G749" s="246">
        <v>3.5</v>
      </c>
      <c r="H749" s="247"/>
      <c r="I749" s="246"/>
      <c r="J749" s="246"/>
      <c r="K749" s="246"/>
      <c r="L749" s="246"/>
      <c r="M749" s="246"/>
      <c r="N749" s="246"/>
      <c r="O749" s="246"/>
      <c r="P749" s="246"/>
      <c r="Q749" s="246"/>
      <c r="R749" s="246"/>
      <c r="S749" s="246"/>
      <c r="T749" s="246"/>
      <c r="U749" s="246"/>
      <c r="V749" s="246"/>
    </row>
    <row r="750" spans="2:22" x14ac:dyDescent="0.25">
      <c r="B750" s="247">
        <v>101</v>
      </c>
      <c r="C750" s="247">
        <v>110</v>
      </c>
      <c r="D750" s="247">
        <v>101</v>
      </c>
      <c r="E750" s="247">
        <v>108</v>
      </c>
      <c r="F750" s="247">
        <f t="shared" si="82"/>
        <v>8</v>
      </c>
      <c r="G750" s="246">
        <v>3.5</v>
      </c>
      <c r="H750" s="247"/>
      <c r="I750" s="246"/>
      <c r="J750" s="246"/>
      <c r="K750" s="246"/>
      <c r="L750" s="246"/>
      <c r="M750" s="246"/>
      <c r="N750" s="246"/>
      <c r="O750" s="246"/>
      <c r="P750" s="246"/>
      <c r="Q750" s="246"/>
      <c r="R750" s="246"/>
      <c r="S750" s="246"/>
      <c r="T750" s="246"/>
      <c r="U750" s="246"/>
      <c r="V750" s="246"/>
    </row>
    <row r="751" spans="2:22" x14ac:dyDescent="0.25">
      <c r="B751" s="247">
        <v>111</v>
      </c>
      <c r="C751" s="247">
        <v>120</v>
      </c>
      <c r="D751" s="247"/>
      <c r="E751" s="247"/>
      <c r="F751" s="247"/>
      <c r="G751" s="246">
        <v>4</v>
      </c>
      <c r="H751" s="247"/>
      <c r="I751" s="246"/>
      <c r="J751" s="246"/>
      <c r="K751" s="246"/>
      <c r="L751" s="246"/>
      <c r="M751" s="246"/>
      <c r="N751" s="246"/>
      <c r="O751" s="246"/>
      <c r="P751" s="246"/>
      <c r="Q751" s="246"/>
      <c r="R751" s="246"/>
      <c r="S751" s="246"/>
      <c r="T751" s="246"/>
      <c r="U751" s="246"/>
      <c r="V751" s="246"/>
    </row>
    <row r="752" spans="2:22" x14ac:dyDescent="0.25">
      <c r="B752" s="246"/>
      <c r="C752" s="246"/>
      <c r="D752" s="246"/>
      <c r="E752" s="246"/>
      <c r="F752" s="246"/>
      <c r="G752" s="246"/>
      <c r="H752" s="246"/>
      <c r="I752" s="246"/>
      <c r="J752" s="246"/>
      <c r="K752" s="246"/>
      <c r="L752" s="246"/>
      <c r="M752" s="246"/>
      <c r="N752" s="246"/>
      <c r="O752" s="246"/>
      <c r="P752" s="246"/>
      <c r="Q752" s="246"/>
      <c r="R752" s="246"/>
      <c r="S752" s="246"/>
      <c r="T752" s="246"/>
      <c r="U752" s="246"/>
      <c r="V752" s="246"/>
    </row>
    <row r="753" spans="2:22" x14ac:dyDescent="0.25">
      <c r="B753" s="386" t="s">
        <v>326</v>
      </c>
      <c r="C753" s="386"/>
      <c r="D753" s="386"/>
      <c r="E753" s="386"/>
      <c r="F753" s="386"/>
      <c r="G753" s="247"/>
      <c r="H753" s="247"/>
      <c r="I753" s="246"/>
      <c r="J753" s="246"/>
      <c r="K753" s="246"/>
      <c r="L753" s="246"/>
      <c r="M753" s="246"/>
      <c r="N753" s="246"/>
      <c r="O753" s="246"/>
      <c r="P753" s="246"/>
      <c r="Q753" s="246"/>
      <c r="R753" s="246"/>
      <c r="S753" s="246"/>
      <c r="T753" s="246"/>
      <c r="U753" s="246"/>
      <c r="V753" s="246"/>
    </row>
    <row r="754" spans="2:22" x14ac:dyDescent="0.25">
      <c r="B754" s="386" t="s">
        <v>254</v>
      </c>
      <c r="C754" s="386"/>
      <c r="D754" s="386" t="s">
        <v>254</v>
      </c>
      <c r="E754" s="386"/>
      <c r="F754" s="192" t="s">
        <v>313</v>
      </c>
      <c r="G754" s="247" t="s">
        <v>314</v>
      </c>
      <c r="H754" s="247" t="s">
        <v>316</v>
      </c>
      <c r="I754" s="246"/>
      <c r="J754" s="246"/>
      <c r="K754" s="246"/>
      <c r="L754" s="246"/>
      <c r="M754" s="246"/>
      <c r="N754" s="246"/>
      <c r="O754" s="246"/>
      <c r="P754" s="246"/>
      <c r="Q754" s="246"/>
      <c r="R754" s="246"/>
      <c r="S754" s="246"/>
      <c r="T754" s="246"/>
      <c r="U754" s="246"/>
      <c r="V754" s="246"/>
    </row>
    <row r="755" spans="2:22" x14ac:dyDescent="0.25">
      <c r="B755" s="247">
        <v>0</v>
      </c>
      <c r="C755" s="247">
        <v>10</v>
      </c>
      <c r="D755" s="247">
        <v>9</v>
      </c>
      <c r="E755" s="247">
        <v>10</v>
      </c>
      <c r="F755" s="247">
        <f>E755-D755+1</f>
        <v>2</v>
      </c>
      <c r="G755" s="246">
        <v>1.5</v>
      </c>
      <c r="H755" s="247">
        <f>(F755*G755+F756*G756+F757*G757+F758*G758+F759*G759+F760*G760)/100</f>
        <v>2.82</v>
      </c>
      <c r="I755" s="246"/>
      <c r="J755" s="246"/>
      <c r="K755" s="246"/>
      <c r="L755" s="246"/>
      <c r="M755" s="246"/>
      <c r="N755" s="246"/>
      <c r="O755" s="246"/>
      <c r="P755" s="246"/>
      <c r="Q755" s="246"/>
      <c r="R755" s="246"/>
      <c r="S755" s="246"/>
      <c r="T755" s="246"/>
      <c r="U755" s="246"/>
      <c r="V755" s="246"/>
    </row>
    <row r="756" spans="2:22" x14ac:dyDescent="0.25">
      <c r="B756" s="247">
        <v>11</v>
      </c>
      <c r="C756" s="247">
        <v>25</v>
      </c>
      <c r="D756" s="247">
        <v>11</v>
      </c>
      <c r="E756" s="247">
        <v>25</v>
      </c>
      <c r="F756" s="247">
        <f t="shared" ref="F756:F760" si="83">E756-D756+1</f>
        <v>15</v>
      </c>
      <c r="G756" s="246">
        <v>2</v>
      </c>
      <c r="H756" s="247"/>
      <c r="I756" s="246"/>
      <c r="J756" s="246"/>
      <c r="K756" s="246"/>
      <c r="L756" s="246"/>
      <c r="M756" s="246"/>
      <c r="N756" s="246"/>
      <c r="O756" s="246"/>
      <c r="P756" s="246"/>
      <c r="Q756" s="246"/>
      <c r="R756" s="246"/>
      <c r="S756" s="246"/>
      <c r="T756" s="246"/>
      <c r="U756" s="246"/>
      <c r="V756" s="246"/>
    </row>
    <row r="757" spans="2:22" x14ac:dyDescent="0.25">
      <c r="B757" s="247">
        <v>26</v>
      </c>
      <c r="C757" s="247">
        <v>55</v>
      </c>
      <c r="D757" s="247">
        <v>26</v>
      </c>
      <c r="E757" s="247">
        <v>55</v>
      </c>
      <c r="F757" s="247">
        <f t="shared" si="83"/>
        <v>30</v>
      </c>
      <c r="G757" s="246">
        <v>2.5</v>
      </c>
      <c r="H757" s="247"/>
      <c r="I757" s="246"/>
      <c r="J757" s="246"/>
      <c r="K757" s="246"/>
      <c r="L757" s="246"/>
      <c r="M757" s="246"/>
      <c r="N757" s="246"/>
      <c r="O757" s="246"/>
      <c r="P757" s="246"/>
      <c r="Q757" s="246"/>
      <c r="R757" s="246"/>
      <c r="S757" s="246"/>
      <c r="T757" s="246"/>
      <c r="U757" s="246"/>
      <c r="V757" s="246"/>
    </row>
    <row r="758" spans="2:22" x14ac:dyDescent="0.25">
      <c r="B758" s="247">
        <v>56</v>
      </c>
      <c r="C758" s="247">
        <v>85</v>
      </c>
      <c r="D758" s="247">
        <v>56</v>
      </c>
      <c r="E758" s="247">
        <v>85</v>
      </c>
      <c r="F758" s="247">
        <f t="shared" si="83"/>
        <v>30</v>
      </c>
      <c r="G758" s="246">
        <v>3</v>
      </c>
      <c r="H758" s="247"/>
      <c r="I758" s="246"/>
      <c r="J758" s="246"/>
      <c r="K758" s="246"/>
      <c r="L758" s="246"/>
      <c r="M758" s="246"/>
      <c r="N758" s="246"/>
      <c r="O758" s="246"/>
      <c r="P758" s="246"/>
      <c r="Q758" s="246"/>
      <c r="R758" s="246"/>
      <c r="S758" s="246"/>
      <c r="T758" s="246"/>
      <c r="U758" s="246"/>
      <c r="V758" s="246"/>
    </row>
    <row r="759" spans="2:22" x14ac:dyDescent="0.25">
      <c r="B759" s="247">
        <v>86</v>
      </c>
      <c r="C759" s="247">
        <v>100</v>
      </c>
      <c r="D759" s="247">
        <v>86</v>
      </c>
      <c r="E759" s="247">
        <v>100</v>
      </c>
      <c r="F759" s="247">
        <f t="shared" si="83"/>
        <v>15</v>
      </c>
      <c r="G759" s="246">
        <v>3.5</v>
      </c>
      <c r="H759" s="247"/>
      <c r="I759" s="246"/>
      <c r="J759" s="246"/>
      <c r="K759" s="246"/>
      <c r="L759" s="246"/>
      <c r="M759" s="246"/>
      <c r="N759" s="246"/>
      <c r="O759" s="246"/>
      <c r="P759" s="246"/>
      <c r="Q759" s="246"/>
      <c r="R759" s="246"/>
      <c r="S759" s="246"/>
      <c r="T759" s="246"/>
      <c r="U759" s="246"/>
      <c r="V759" s="246"/>
    </row>
    <row r="760" spans="2:22" x14ac:dyDescent="0.25">
      <c r="B760" s="247">
        <v>101</v>
      </c>
      <c r="C760" s="247">
        <v>110</v>
      </c>
      <c r="D760" s="247">
        <v>101</v>
      </c>
      <c r="E760" s="247">
        <v>109</v>
      </c>
      <c r="F760" s="247">
        <f t="shared" si="83"/>
        <v>9</v>
      </c>
      <c r="G760" s="246">
        <v>3.5</v>
      </c>
      <c r="H760" s="247"/>
      <c r="I760" s="246"/>
      <c r="J760" s="246"/>
      <c r="K760" s="246"/>
      <c r="L760" s="246"/>
      <c r="M760" s="246"/>
      <c r="N760" s="246"/>
      <c r="O760" s="246"/>
      <c r="P760" s="246"/>
      <c r="Q760" s="246"/>
      <c r="R760" s="246"/>
      <c r="S760" s="246"/>
      <c r="T760" s="246"/>
      <c r="U760" s="246"/>
      <c r="V760" s="246"/>
    </row>
    <row r="761" spans="2:22" x14ac:dyDescent="0.25">
      <c r="B761" s="247">
        <v>111</v>
      </c>
      <c r="C761" s="247">
        <v>120</v>
      </c>
      <c r="D761" s="247"/>
      <c r="E761" s="247"/>
      <c r="F761" s="247"/>
      <c r="G761" s="246">
        <v>4</v>
      </c>
      <c r="H761" s="247"/>
      <c r="I761" s="246"/>
      <c r="J761" s="246"/>
      <c r="K761" s="246"/>
      <c r="L761" s="246"/>
      <c r="M761" s="246"/>
      <c r="N761" s="246"/>
      <c r="O761" s="246"/>
      <c r="P761" s="246"/>
      <c r="Q761" s="246"/>
      <c r="R761" s="246"/>
      <c r="S761" s="246"/>
      <c r="T761" s="246"/>
      <c r="U761" s="246"/>
      <c r="V761" s="246"/>
    </row>
    <row r="762" spans="2:22" x14ac:dyDescent="0.25">
      <c r="B762" s="246"/>
      <c r="C762" s="246"/>
      <c r="D762" s="246"/>
      <c r="E762" s="246"/>
      <c r="F762" s="246"/>
      <c r="G762" s="246"/>
      <c r="H762" s="246"/>
      <c r="I762" s="246"/>
      <c r="J762" s="246"/>
      <c r="K762" s="246"/>
      <c r="L762" s="246"/>
      <c r="M762" s="246"/>
      <c r="N762" s="246"/>
      <c r="O762" s="246"/>
      <c r="P762" s="246"/>
      <c r="Q762" s="246"/>
      <c r="R762" s="246"/>
      <c r="S762" s="246"/>
      <c r="T762" s="246"/>
      <c r="U762" s="246"/>
      <c r="V762" s="246"/>
    </row>
    <row r="763" spans="2:22" x14ac:dyDescent="0.25">
      <c r="B763" s="386" t="s">
        <v>327</v>
      </c>
      <c r="C763" s="386"/>
      <c r="D763" s="386"/>
      <c r="E763" s="386"/>
      <c r="F763" s="386"/>
      <c r="G763" s="247"/>
      <c r="H763" s="247"/>
      <c r="I763" s="246"/>
      <c r="J763" s="246"/>
      <c r="K763" s="246"/>
      <c r="L763" s="246"/>
      <c r="M763" s="246"/>
      <c r="N763" s="246"/>
      <c r="O763" s="246"/>
      <c r="P763" s="246"/>
      <c r="Q763" s="246"/>
      <c r="R763" s="246"/>
      <c r="S763" s="246"/>
      <c r="T763" s="246"/>
      <c r="U763" s="246"/>
      <c r="V763" s="246"/>
    </row>
    <row r="764" spans="2:22" x14ac:dyDescent="0.25">
      <c r="B764" s="386" t="s">
        <v>254</v>
      </c>
      <c r="C764" s="386"/>
      <c r="D764" s="386" t="s">
        <v>254</v>
      </c>
      <c r="E764" s="386"/>
      <c r="F764" s="192" t="s">
        <v>313</v>
      </c>
      <c r="G764" s="247" t="s">
        <v>314</v>
      </c>
      <c r="H764" s="247" t="s">
        <v>316</v>
      </c>
      <c r="I764" s="246"/>
      <c r="J764" s="246"/>
      <c r="K764" s="246"/>
      <c r="L764" s="246"/>
      <c r="M764" s="246"/>
      <c r="N764" s="246"/>
      <c r="O764" s="246"/>
      <c r="P764" s="246"/>
      <c r="Q764" s="246"/>
      <c r="R764" s="246"/>
      <c r="S764" s="246"/>
      <c r="T764" s="246"/>
      <c r="U764" s="246"/>
      <c r="V764" s="246"/>
    </row>
    <row r="765" spans="2:22" x14ac:dyDescent="0.25">
      <c r="B765" s="247">
        <v>0</v>
      </c>
      <c r="C765" s="247">
        <v>10</v>
      </c>
      <c r="D765" s="247">
        <v>10</v>
      </c>
      <c r="E765" s="247">
        <v>10</v>
      </c>
      <c r="F765" s="247">
        <f>E765-D765+1</f>
        <v>1</v>
      </c>
      <c r="G765" s="246">
        <v>1.5</v>
      </c>
      <c r="H765" s="247">
        <f>(F765*G765+F766*G766+F767*G767+F768*G768+F769*G769+F770*G770)/100</f>
        <v>2.84</v>
      </c>
      <c r="I765" s="246"/>
      <c r="J765" s="246"/>
      <c r="K765" s="246"/>
      <c r="L765" s="246"/>
      <c r="M765" s="246"/>
      <c r="N765" s="246"/>
      <c r="O765" s="246"/>
      <c r="P765" s="246"/>
      <c r="Q765" s="246"/>
      <c r="R765" s="246"/>
      <c r="S765" s="246"/>
      <c r="T765" s="246"/>
      <c r="U765" s="246"/>
      <c r="V765" s="246"/>
    </row>
    <row r="766" spans="2:22" x14ac:dyDescent="0.25">
      <c r="B766" s="247">
        <v>11</v>
      </c>
      <c r="C766" s="247">
        <v>25</v>
      </c>
      <c r="D766" s="247">
        <v>11</v>
      </c>
      <c r="E766" s="247">
        <v>25</v>
      </c>
      <c r="F766" s="247">
        <f t="shared" ref="F766:F770" si="84">E766-D766+1</f>
        <v>15</v>
      </c>
      <c r="G766" s="246">
        <v>2</v>
      </c>
      <c r="H766" s="247"/>
      <c r="I766" s="246"/>
      <c r="J766" s="246"/>
      <c r="K766" s="246"/>
      <c r="L766" s="246"/>
      <c r="M766" s="246"/>
      <c r="N766" s="246"/>
      <c r="O766" s="246"/>
      <c r="P766" s="246"/>
      <c r="Q766" s="246"/>
      <c r="R766" s="246"/>
      <c r="S766" s="246"/>
      <c r="T766" s="246"/>
      <c r="U766" s="246"/>
      <c r="V766" s="246"/>
    </row>
    <row r="767" spans="2:22" x14ac:dyDescent="0.25">
      <c r="B767" s="247">
        <v>26</v>
      </c>
      <c r="C767" s="247">
        <v>55</v>
      </c>
      <c r="D767" s="247">
        <v>26</v>
      </c>
      <c r="E767" s="247">
        <v>55</v>
      </c>
      <c r="F767" s="247">
        <f t="shared" si="84"/>
        <v>30</v>
      </c>
      <c r="G767" s="246">
        <v>2.5</v>
      </c>
      <c r="H767" s="247"/>
      <c r="I767" s="246"/>
      <c r="J767" s="246"/>
      <c r="K767" s="246"/>
      <c r="L767" s="246"/>
      <c r="M767" s="246"/>
      <c r="N767" s="246"/>
      <c r="O767" s="246"/>
      <c r="P767" s="246"/>
      <c r="Q767" s="246"/>
      <c r="R767" s="246"/>
      <c r="S767" s="246"/>
      <c r="T767" s="246"/>
      <c r="U767" s="246"/>
      <c r="V767" s="246"/>
    </row>
    <row r="768" spans="2:22" x14ac:dyDescent="0.25">
      <c r="B768" s="247">
        <v>56</v>
      </c>
      <c r="C768" s="247">
        <v>85</v>
      </c>
      <c r="D768" s="247">
        <v>56</v>
      </c>
      <c r="E768" s="247">
        <v>85</v>
      </c>
      <c r="F768" s="247">
        <f t="shared" si="84"/>
        <v>30</v>
      </c>
      <c r="G768" s="246">
        <v>3</v>
      </c>
      <c r="H768" s="247"/>
      <c r="I768" s="246"/>
      <c r="J768" s="246"/>
      <c r="K768" s="246"/>
      <c r="L768" s="246"/>
      <c r="M768" s="246"/>
      <c r="N768" s="246"/>
      <c r="O768" s="246"/>
      <c r="P768" s="246"/>
      <c r="Q768" s="246"/>
      <c r="R768" s="246"/>
      <c r="S768" s="246"/>
      <c r="T768" s="246"/>
      <c r="U768" s="246"/>
      <c r="V768" s="246"/>
    </row>
    <row r="769" spans="2:22" x14ac:dyDescent="0.25">
      <c r="B769" s="247">
        <v>86</v>
      </c>
      <c r="C769" s="247">
        <v>100</v>
      </c>
      <c r="D769" s="247">
        <v>86</v>
      </c>
      <c r="E769" s="247">
        <v>100</v>
      </c>
      <c r="F769" s="247">
        <f t="shared" si="84"/>
        <v>15</v>
      </c>
      <c r="G769" s="246">
        <v>3.5</v>
      </c>
      <c r="H769" s="247"/>
      <c r="I769" s="246"/>
      <c r="J769" s="246"/>
      <c r="K769" s="246"/>
      <c r="L769" s="246"/>
      <c r="M769" s="246"/>
      <c r="N769" s="246"/>
      <c r="O769" s="246"/>
      <c r="P769" s="246"/>
      <c r="Q769" s="246"/>
      <c r="R769" s="246"/>
      <c r="S769" s="246"/>
      <c r="T769" s="246"/>
      <c r="U769" s="246"/>
      <c r="V769" s="246"/>
    </row>
    <row r="770" spans="2:22" x14ac:dyDescent="0.25">
      <c r="B770" s="247">
        <v>101</v>
      </c>
      <c r="C770" s="247">
        <v>110</v>
      </c>
      <c r="D770" s="247">
        <v>101</v>
      </c>
      <c r="E770" s="247">
        <v>110</v>
      </c>
      <c r="F770" s="247">
        <f t="shared" si="84"/>
        <v>10</v>
      </c>
      <c r="G770" s="246">
        <v>3.5</v>
      </c>
      <c r="H770" s="247"/>
      <c r="I770" s="246"/>
      <c r="J770" s="246"/>
      <c r="K770" s="246"/>
      <c r="L770" s="246"/>
      <c r="M770" s="246"/>
      <c r="N770" s="246"/>
      <c r="O770" s="246"/>
      <c r="P770" s="246"/>
      <c r="Q770" s="246"/>
      <c r="R770" s="246"/>
      <c r="S770" s="246"/>
      <c r="T770" s="246"/>
      <c r="U770" s="246"/>
      <c r="V770" s="246"/>
    </row>
    <row r="771" spans="2:22" x14ac:dyDescent="0.25">
      <c r="B771" s="247">
        <v>111</v>
      </c>
      <c r="C771" s="247">
        <v>120</v>
      </c>
      <c r="D771" s="247"/>
      <c r="E771" s="247"/>
      <c r="F771" s="247"/>
      <c r="G771" s="246">
        <v>4</v>
      </c>
      <c r="H771" s="247"/>
      <c r="I771" s="246"/>
      <c r="J771" s="246"/>
      <c r="K771" s="246"/>
      <c r="L771" s="246"/>
      <c r="M771" s="246"/>
      <c r="N771" s="246"/>
      <c r="O771" s="246"/>
      <c r="P771" s="246"/>
      <c r="Q771" s="246"/>
      <c r="R771" s="246"/>
      <c r="S771" s="246"/>
      <c r="T771" s="246"/>
      <c r="U771" s="246"/>
      <c r="V771" s="246"/>
    </row>
    <row r="772" spans="2:22" x14ac:dyDescent="0.25">
      <c r="B772" s="246"/>
      <c r="C772" s="246"/>
      <c r="D772" s="246"/>
      <c r="E772" s="246"/>
      <c r="F772" s="246"/>
      <c r="G772" s="246"/>
      <c r="H772" s="246"/>
      <c r="I772" s="246"/>
      <c r="J772" s="246"/>
      <c r="K772" s="246"/>
      <c r="L772" s="246"/>
      <c r="M772" s="246"/>
      <c r="N772" s="246"/>
      <c r="O772" s="246"/>
      <c r="P772" s="246"/>
      <c r="Q772" s="246"/>
      <c r="R772" s="246"/>
      <c r="S772" s="246"/>
      <c r="T772" s="246"/>
      <c r="U772" s="246"/>
      <c r="V772" s="246"/>
    </row>
    <row r="773" spans="2:22" x14ac:dyDescent="0.25">
      <c r="B773" s="386" t="s">
        <v>328</v>
      </c>
      <c r="C773" s="386"/>
      <c r="D773" s="386"/>
      <c r="E773" s="386"/>
      <c r="F773" s="386"/>
      <c r="G773" s="247"/>
      <c r="H773" s="247"/>
      <c r="I773" s="246"/>
      <c r="J773" s="246"/>
      <c r="K773" s="246"/>
      <c r="L773" s="246"/>
      <c r="M773" s="246"/>
      <c r="N773" s="246"/>
      <c r="O773" s="246"/>
      <c r="P773" s="246"/>
      <c r="Q773" s="246"/>
      <c r="R773" s="246"/>
      <c r="S773" s="246"/>
      <c r="T773" s="246"/>
      <c r="U773" s="246"/>
      <c r="V773" s="246"/>
    </row>
    <row r="774" spans="2:22" x14ac:dyDescent="0.25">
      <c r="B774" s="386" t="s">
        <v>254</v>
      </c>
      <c r="C774" s="386"/>
      <c r="D774" s="386" t="s">
        <v>254</v>
      </c>
      <c r="E774" s="386"/>
      <c r="F774" s="192" t="s">
        <v>313</v>
      </c>
      <c r="G774" s="247" t="s">
        <v>314</v>
      </c>
      <c r="H774" s="247" t="s">
        <v>316</v>
      </c>
      <c r="I774" s="246"/>
      <c r="J774" s="246"/>
      <c r="K774" s="246"/>
      <c r="L774" s="246"/>
      <c r="M774" s="246"/>
      <c r="N774" s="246"/>
      <c r="O774" s="246"/>
      <c r="P774" s="246"/>
      <c r="Q774" s="246"/>
      <c r="R774" s="246"/>
      <c r="S774" s="246"/>
      <c r="T774" s="246"/>
      <c r="U774" s="246"/>
      <c r="V774" s="246"/>
    </row>
    <row r="775" spans="2:22" x14ac:dyDescent="0.25">
      <c r="B775" s="247">
        <v>0</v>
      </c>
      <c r="C775" s="247">
        <v>10</v>
      </c>
      <c r="D775" s="247"/>
      <c r="E775" s="247"/>
      <c r="F775" s="247">
        <v>0</v>
      </c>
      <c r="G775" s="246">
        <v>1.5</v>
      </c>
      <c r="H775" s="247">
        <f>(F775*G775+F776*G776+F777*G777+F778*G778+F779*G779+F780*G780+F781*G781)/100</f>
        <v>2.8650000000000002</v>
      </c>
      <c r="I775" s="246"/>
      <c r="J775" s="246"/>
      <c r="K775" s="246"/>
      <c r="L775" s="246"/>
      <c r="M775" s="246"/>
      <c r="N775" s="246"/>
      <c r="O775" s="246"/>
      <c r="P775" s="246"/>
      <c r="Q775" s="246"/>
      <c r="R775" s="246"/>
      <c r="S775" s="246"/>
      <c r="T775" s="246"/>
      <c r="U775" s="246"/>
      <c r="V775" s="246"/>
    </row>
    <row r="776" spans="2:22" x14ac:dyDescent="0.25">
      <c r="B776" s="247">
        <v>11</v>
      </c>
      <c r="C776" s="247">
        <v>25</v>
      </c>
      <c r="D776" s="247">
        <v>11</v>
      </c>
      <c r="E776" s="247">
        <v>25</v>
      </c>
      <c r="F776" s="247">
        <f t="shared" ref="F776:F781" si="85">E776-D776+1</f>
        <v>15</v>
      </c>
      <c r="G776" s="246">
        <v>2</v>
      </c>
      <c r="H776" s="247"/>
      <c r="I776" s="246"/>
      <c r="J776" s="246"/>
      <c r="K776" s="246"/>
      <c r="L776" s="246"/>
      <c r="M776" s="246"/>
      <c r="N776" s="246"/>
      <c r="O776" s="246"/>
      <c r="P776" s="246"/>
      <c r="Q776" s="246"/>
      <c r="R776" s="246"/>
      <c r="S776" s="246"/>
      <c r="T776" s="246"/>
      <c r="U776" s="246"/>
      <c r="V776" s="246"/>
    </row>
    <row r="777" spans="2:22" x14ac:dyDescent="0.25">
      <c r="B777" s="247">
        <v>26</v>
      </c>
      <c r="C777" s="247">
        <v>55</v>
      </c>
      <c r="D777" s="247">
        <v>26</v>
      </c>
      <c r="E777" s="247">
        <v>55</v>
      </c>
      <c r="F777" s="247">
        <f t="shared" si="85"/>
        <v>30</v>
      </c>
      <c r="G777" s="246">
        <v>2.5</v>
      </c>
      <c r="H777" s="247"/>
      <c r="I777" s="246"/>
      <c r="J777" s="246"/>
      <c r="K777" s="246"/>
      <c r="L777" s="246"/>
      <c r="M777" s="246"/>
      <c r="N777" s="246"/>
      <c r="O777" s="246"/>
      <c r="P777" s="246"/>
      <c r="Q777" s="246"/>
      <c r="R777" s="246"/>
      <c r="S777" s="246"/>
      <c r="T777" s="246"/>
      <c r="U777" s="246"/>
      <c r="V777" s="246"/>
    </row>
    <row r="778" spans="2:22" x14ac:dyDescent="0.25">
      <c r="B778" s="247">
        <v>56</v>
      </c>
      <c r="C778" s="247">
        <v>85</v>
      </c>
      <c r="D778" s="247">
        <v>56</v>
      </c>
      <c r="E778" s="247">
        <v>85</v>
      </c>
      <c r="F778" s="247">
        <f t="shared" si="85"/>
        <v>30</v>
      </c>
      <c r="G778" s="246">
        <v>3</v>
      </c>
      <c r="H778" s="247"/>
      <c r="I778" s="246"/>
      <c r="J778" s="246"/>
      <c r="K778" s="246"/>
      <c r="L778" s="246"/>
      <c r="M778" s="246"/>
      <c r="N778" s="246"/>
      <c r="O778" s="246"/>
      <c r="P778" s="246"/>
      <c r="Q778" s="246"/>
      <c r="R778" s="246"/>
      <c r="S778" s="246"/>
      <c r="T778" s="246"/>
      <c r="U778" s="246"/>
      <c r="V778" s="246"/>
    </row>
    <row r="779" spans="2:22" x14ac:dyDescent="0.25">
      <c r="B779" s="247">
        <v>86</v>
      </c>
      <c r="C779" s="247">
        <v>100</v>
      </c>
      <c r="D779" s="247">
        <v>86</v>
      </c>
      <c r="E779" s="247">
        <v>100</v>
      </c>
      <c r="F779" s="247">
        <f t="shared" si="85"/>
        <v>15</v>
      </c>
      <c r="G779" s="246">
        <v>3.5</v>
      </c>
      <c r="H779" s="247"/>
      <c r="I779" s="246"/>
      <c r="J779" s="246"/>
      <c r="K779" s="246"/>
      <c r="L779" s="246"/>
      <c r="M779" s="246"/>
      <c r="N779" s="246"/>
      <c r="O779" s="246"/>
      <c r="P779" s="246"/>
      <c r="Q779" s="246"/>
      <c r="R779" s="246"/>
      <c r="S779" s="246"/>
      <c r="T779" s="246"/>
      <c r="U779" s="246"/>
      <c r="V779" s="246"/>
    </row>
    <row r="780" spans="2:22" x14ac:dyDescent="0.25">
      <c r="B780" s="247">
        <v>101</v>
      </c>
      <c r="C780" s="247">
        <v>110</v>
      </c>
      <c r="D780" s="247">
        <v>101</v>
      </c>
      <c r="E780" s="247">
        <v>110</v>
      </c>
      <c r="F780" s="247">
        <f t="shared" si="85"/>
        <v>10</v>
      </c>
      <c r="G780" s="246">
        <v>3.5</v>
      </c>
      <c r="H780" s="247"/>
      <c r="I780" s="246"/>
      <c r="J780" s="246"/>
      <c r="K780" s="246"/>
      <c r="L780" s="246"/>
      <c r="M780" s="246"/>
      <c r="N780" s="246"/>
      <c r="O780" s="246"/>
      <c r="P780" s="246"/>
      <c r="Q780" s="246"/>
      <c r="R780" s="246"/>
      <c r="S780" s="246"/>
      <c r="T780" s="246"/>
      <c r="U780" s="246"/>
      <c r="V780" s="246"/>
    </row>
    <row r="781" spans="2:22" x14ac:dyDescent="0.25">
      <c r="B781" s="247">
        <v>111</v>
      </c>
      <c r="C781" s="247">
        <v>120</v>
      </c>
      <c r="D781" s="247">
        <v>111</v>
      </c>
      <c r="E781" s="247">
        <v>111</v>
      </c>
      <c r="F781" s="247">
        <f t="shared" si="85"/>
        <v>1</v>
      </c>
      <c r="G781" s="246">
        <v>4</v>
      </c>
      <c r="H781" s="247"/>
      <c r="I781" s="246"/>
      <c r="J781" s="246"/>
      <c r="K781" s="246"/>
      <c r="L781" s="247"/>
      <c r="M781" s="246"/>
      <c r="N781" s="246"/>
      <c r="O781" s="246"/>
      <c r="P781" s="246"/>
      <c r="Q781" s="246"/>
      <c r="R781" s="246"/>
      <c r="S781" s="246"/>
      <c r="T781" s="246"/>
      <c r="U781" s="246"/>
      <c r="V781" s="246"/>
    </row>
    <row r="782" spans="2:22" x14ac:dyDescent="0.25">
      <c r="B782" s="246"/>
      <c r="C782" s="246"/>
      <c r="D782" s="246"/>
      <c r="E782" s="246"/>
      <c r="F782" s="246"/>
      <c r="G782" s="246"/>
      <c r="H782" s="246"/>
      <c r="I782" s="246"/>
      <c r="J782" s="246"/>
      <c r="K782" s="246"/>
      <c r="L782" s="246"/>
      <c r="M782" s="246"/>
      <c r="N782" s="246"/>
      <c r="O782" s="246"/>
      <c r="P782" s="246"/>
      <c r="Q782" s="246"/>
      <c r="R782" s="246"/>
      <c r="S782" s="246"/>
      <c r="T782" s="246"/>
      <c r="U782" s="246"/>
      <c r="V782" s="246"/>
    </row>
    <row r="783" spans="2:22" x14ac:dyDescent="0.25">
      <c r="B783" s="386" t="s">
        <v>329</v>
      </c>
      <c r="C783" s="386"/>
      <c r="D783" s="386"/>
      <c r="E783" s="386"/>
      <c r="F783" s="386"/>
      <c r="G783" s="247"/>
      <c r="H783" s="247"/>
      <c r="I783" s="246"/>
      <c r="J783" s="246"/>
      <c r="K783" s="246"/>
      <c r="L783" s="246"/>
      <c r="M783" s="246"/>
      <c r="N783" s="246"/>
      <c r="O783" s="246"/>
      <c r="P783" s="246"/>
      <c r="Q783" s="246"/>
      <c r="R783" s="246"/>
      <c r="S783" s="246"/>
      <c r="T783" s="246"/>
      <c r="U783" s="246"/>
      <c r="V783" s="246"/>
    </row>
    <row r="784" spans="2:22" x14ac:dyDescent="0.25">
      <c r="B784" s="386" t="s">
        <v>254</v>
      </c>
      <c r="C784" s="386"/>
      <c r="D784" s="386" t="s">
        <v>254</v>
      </c>
      <c r="E784" s="386"/>
      <c r="F784" s="192" t="s">
        <v>313</v>
      </c>
      <c r="G784" s="247" t="s">
        <v>314</v>
      </c>
      <c r="H784" s="247" t="s">
        <v>316</v>
      </c>
      <c r="I784" s="246"/>
      <c r="J784" s="246"/>
      <c r="K784" s="246"/>
      <c r="L784" s="246"/>
      <c r="M784" s="246"/>
      <c r="N784" s="246"/>
      <c r="O784" s="246"/>
      <c r="P784" s="246"/>
      <c r="Q784" s="246"/>
      <c r="R784" s="246"/>
      <c r="S784" s="246"/>
      <c r="T784" s="246"/>
      <c r="U784" s="246"/>
      <c r="V784" s="246"/>
    </row>
    <row r="785" spans="2:22" x14ac:dyDescent="0.25">
      <c r="B785" s="247">
        <v>0</v>
      </c>
      <c r="C785" s="247">
        <v>10</v>
      </c>
      <c r="D785" s="247"/>
      <c r="E785" s="247"/>
      <c r="F785" s="247">
        <v>0</v>
      </c>
      <c r="G785" s="246">
        <v>1.5</v>
      </c>
      <c r="H785" s="247">
        <f>(F785*G785+F786*G786+F787*G787+F788*G788+F789*G789+F790*G790+F791*G791)/100</f>
        <v>2.8849999999999998</v>
      </c>
      <c r="I785" s="246"/>
      <c r="J785" s="246"/>
      <c r="K785" s="246"/>
      <c r="L785" s="246"/>
      <c r="M785" s="246"/>
      <c r="N785" s="246"/>
      <c r="O785" s="246"/>
      <c r="P785" s="246"/>
      <c r="Q785" s="246"/>
      <c r="R785" s="246"/>
      <c r="S785" s="246"/>
      <c r="T785" s="246"/>
      <c r="U785" s="246"/>
      <c r="V785" s="246"/>
    </row>
    <row r="786" spans="2:22" x14ac:dyDescent="0.25">
      <c r="B786" s="247">
        <v>11</v>
      </c>
      <c r="C786" s="247">
        <v>25</v>
      </c>
      <c r="D786" s="247">
        <v>12</v>
      </c>
      <c r="E786" s="247">
        <v>25</v>
      </c>
      <c r="F786" s="247">
        <f t="shared" ref="F786:F791" si="86">E786-D786+1</f>
        <v>14</v>
      </c>
      <c r="G786" s="246">
        <v>2</v>
      </c>
      <c r="H786" s="247"/>
      <c r="I786" s="246"/>
      <c r="J786" s="246"/>
      <c r="K786" s="246"/>
      <c r="L786" s="246"/>
      <c r="M786" s="246"/>
      <c r="N786" s="246"/>
      <c r="O786" s="246"/>
      <c r="P786" s="246"/>
      <c r="Q786" s="246"/>
      <c r="R786" s="246"/>
      <c r="S786" s="246"/>
      <c r="T786" s="246"/>
      <c r="U786" s="246"/>
      <c r="V786" s="246"/>
    </row>
    <row r="787" spans="2:22" x14ac:dyDescent="0.25">
      <c r="B787" s="247">
        <v>26</v>
      </c>
      <c r="C787" s="247">
        <v>55</v>
      </c>
      <c r="D787" s="247">
        <v>26</v>
      </c>
      <c r="E787" s="247">
        <v>55</v>
      </c>
      <c r="F787" s="247">
        <f t="shared" si="86"/>
        <v>30</v>
      </c>
      <c r="G787" s="246">
        <v>2.5</v>
      </c>
      <c r="H787" s="247"/>
      <c r="I787" s="246"/>
      <c r="J787" s="246"/>
      <c r="K787" s="246"/>
      <c r="L787" s="246"/>
      <c r="M787" s="246"/>
      <c r="N787" s="246"/>
      <c r="O787" s="246"/>
      <c r="P787" s="246"/>
      <c r="Q787" s="246"/>
      <c r="R787" s="246"/>
      <c r="S787" s="246"/>
      <c r="T787" s="246"/>
      <c r="U787" s="246"/>
      <c r="V787" s="246"/>
    </row>
    <row r="788" spans="2:22" x14ac:dyDescent="0.25">
      <c r="B788" s="247">
        <v>56</v>
      </c>
      <c r="C788" s="247">
        <v>85</v>
      </c>
      <c r="D788" s="247">
        <v>56</v>
      </c>
      <c r="E788" s="247">
        <v>85</v>
      </c>
      <c r="F788" s="247">
        <f t="shared" si="86"/>
        <v>30</v>
      </c>
      <c r="G788" s="246">
        <v>3</v>
      </c>
      <c r="H788" s="247"/>
      <c r="I788" s="246"/>
      <c r="J788" s="246"/>
      <c r="K788" s="246"/>
      <c r="L788" s="246"/>
      <c r="M788" s="246"/>
      <c r="N788" s="246"/>
      <c r="O788" s="246"/>
      <c r="P788" s="246"/>
      <c r="Q788" s="246"/>
      <c r="R788" s="246"/>
      <c r="S788" s="246"/>
      <c r="T788" s="246"/>
      <c r="U788" s="246"/>
      <c r="V788" s="246"/>
    </row>
    <row r="789" spans="2:22" x14ac:dyDescent="0.25">
      <c r="B789" s="247">
        <v>86</v>
      </c>
      <c r="C789" s="247">
        <v>100</v>
      </c>
      <c r="D789" s="247">
        <v>86</v>
      </c>
      <c r="E789" s="247">
        <v>100</v>
      </c>
      <c r="F789" s="247">
        <f t="shared" si="86"/>
        <v>15</v>
      </c>
      <c r="G789" s="246">
        <v>3.5</v>
      </c>
      <c r="H789" s="247"/>
      <c r="I789" s="246"/>
      <c r="J789" s="246"/>
      <c r="K789" s="246"/>
      <c r="L789" s="246"/>
      <c r="M789" s="246"/>
      <c r="N789" s="246"/>
      <c r="O789" s="246"/>
      <c r="P789" s="246"/>
      <c r="Q789" s="246"/>
      <c r="R789" s="246"/>
      <c r="S789" s="246"/>
      <c r="T789" s="246"/>
      <c r="U789" s="246"/>
      <c r="V789" s="246"/>
    </row>
    <row r="790" spans="2:22" x14ac:dyDescent="0.25">
      <c r="B790" s="247">
        <v>101</v>
      </c>
      <c r="C790" s="247">
        <v>110</v>
      </c>
      <c r="D790" s="247">
        <v>101</v>
      </c>
      <c r="E790" s="247">
        <v>110</v>
      </c>
      <c r="F790" s="247">
        <f t="shared" si="86"/>
        <v>10</v>
      </c>
      <c r="G790" s="246">
        <v>3.5</v>
      </c>
      <c r="H790" s="247"/>
      <c r="I790" s="246"/>
      <c r="J790" s="246"/>
      <c r="K790" s="246"/>
      <c r="L790" s="246"/>
      <c r="M790" s="246"/>
      <c r="N790" s="246"/>
      <c r="O790" s="246"/>
      <c r="P790" s="246"/>
      <c r="Q790" s="246"/>
      <c r="R790" s="246"/>
      <c r="S790" s="246"/>
      <c r="T790" s="246"/>
      <c r="U790" s="246"/>
      <c r="V790" s="246"/>
    </row>
    <row r="791" spans="2:22" x14ac:dyDescent="0.25">
      <c r="B791" s="247">
        <v>111</v>
      </c>
      <c r="C791" s="247">
        <v>120</v>
      </c>
      <c r="D791" s="247">
        <v>111</v>
      </c>
      <c r="E791" s="247">
        <v>112</v>
      </c>
      <c r="F791" s="247">
        <f t="shared" si="86"/>
        <v>2</v>
      </c>
      <c r="G791" s="246">
        <v>4</v>
      </c>
      <c r="H791" s="247"/>
      <c r="I791" s="246"/>
      <c r="J791" s="246"/>
      <c r="K791" s="246"/>
      <c r="L791" s="246"/>
      <c r="M791" s="246"/>
      <c r="N791" s="246"/>
      <c r="O791" s="246"/>
      <c r="P791" s="246"/>
      <c r="Q791" s="246"/>
      <c r="R791" s="246"/>
      <c r="S791" s="246"/>
      <c r="T791" s="246"/>
      <c r="U791" s="246"/>
      <c r="V791" s="246"/>
    </row>
    <row r="792" spans="2:22" x14ac:dyDescent="0.25">
      <c r="B792" s="246"/>
      <c r="C792" s="246"/>
      <c r="D792" s="246"/>
      <c r="E792" s="246"/>
      <c r="F792" s="246"/>
      <c r="G792" s="246"/>
      <c r="H792" s="246"/>
      <c r="I792" s="246"/>
      <c r="J792" s="246"/>
      <c r="K792" s="246"/>
      <c r="L792" s="246"/>
      <c r="M792" s="246"/>
      <c r="N792" s="246"/>
      <c r="O792" s="246"/>
      <c r="P792" s="246"/>
      <c r="Q792" s="246"/>
      <c r="R792" s="246"/>
      <c r="S792" s="246"/>
      <c r="T792" s="246"/>
      <c r="U792" s="246"/>
      <c r="V792" s="246"/>
    </row>
    <row r="793" spans="2:22" x14ac:dyDescent="0.25">
      <c r="B793" s="386" t="s">
        <v>330</v>
      </c>
      <c r="C793" s="386"/>
      <c r="D793" s="386"/>
      <c r="E793" s="386"/>
      <c r="F793" s="386"/>
      <c r="G793" s="247"/>
      <c r="H793" s="247"/>
      <c r="I793" s="246"/>
      <c r="J793" s="246"/>
      <c r="K793" s="246"/>
      <c r="L793" s="246"/>
      <c r="M793" s="246"/>
      <c r="N793" s="246"/>
      <c r="O793" s="246"/>
      <c r="P793" s="246"/>
      <c r="Q793" s="246"/>
      <c r="R793" s="246"/>
      <c r="S793" s="246"/>
      <c r="T793" s="246"/>
      <c r="U793" s="246"/>
      <c r="V793" s="246"/>
    </row>
    <row r="794" spans="2:22" x14ac:dyDescent="0.25">
      <c r="B794" s="386" t="s">
        <v>254</v>
      </c>
      <c r="C794" s="386"/>
      <c r="D794" s="386" t="s">
        <v>254</v>
      </c>
      <c r="E794" s="386"/>
      <c r="F794" s="192" t="s">
        <v>313</v>
      </c>
      <c r="G794" s="247" t="s">
        <v>314</v>
      </c>
      <c r="H794" s="247" t="s">
        <v>316</v>
      </c>
      <c r="I794" s="246"/>
      <c r="J794" s="246"/>
      <c r="K794" s="246"/>
      <c r="L794" s="246"/>
      <c r="M794" s="246"/>
      <c r="N794" s="246"/>
      <c r="O794" s="246"/>
      <c r="P794" s="246"/>
      <c r="Q794" s="246"/>
      <c r="R794" s="246"/>
      <c r="S794" s="246"/>
      <c r="T794" s="246"/>
      <c r="U794" s="246"/>
      <c r="V794" s="246"/>
    </row>
    <row r="795" spans="2:22" x14ac:dyDescent="0.25">
      <c r="B795" s="247">
        <v>0</v>
      </c>
      <c r="C795" s="247">
        <v>10</v>
      </c>
      <c r="D795" s="247"/>
      <c r="E795" s="247"/>
      <c r="F795" s="247">
        <v>0</v>
      </c>
      <c r="G795" s="246">
        <v>1.5</v>
      </c>
      <c r="H795" s="247">
        <f>(F795*G795+F796*G796+F797*G797+F798*G798+F799*G799+F800*G800+F801*G801)/100</f>
        <v>2.9049999999999998</v>
      </c>
      <c r="I795" s="246"/>
      <c r="J795" s="246"/>
      <c r="K795" s="246"/>
      <c r="L795" s="246"/>
      <c r="M795" s="246"/>
      <c r="N795" s="246"/>
      <c r="O795" s="246"/>
      <c r="P795" s="246"/>
      <c r="Q795" s="246"/>
      <c r="R795" s="246"/>
      <c r="S795" s="246"/>
      <c r="T795" s="246"/>
      <c r="U795" s="246"/>
      <c r="V795" s="246"/>
    </row>
    <row r="796" spans="2:22" x14ac:dyDescent="0.25">
      <c r="B796" s="247">
        <v>11</v>
      </c>
      <c r="C796" s="247">
        <v>25</v>
      </c>
      <c r="D796" s="247">
        <v>13</v>
      </c>
      <c r="E796" s="247">
        <v>25</v>
      </c>
      <c r="F796" s="247">
        <f t="shared" ref="F796:F801" si="87">E796-D796+1</f>
        <v>13</v>
      </c>
      <c r="G796" s="246">
        <v>2</v>
      </c>
      <c r="H796" s="247"/>
      <c r="I796" s="246"/>
      <c r="J796" s="246"/>
      <c r="K796" s="246"/>
      <c r="L796" s="246"/>
      <c r="M796" s="246"/>
      <c r="N796" s="246"/>
      <c r="O796" s="246"/>
      <c r="P796" s="246"/>
      <c r="Q796" s="246"/>
      <c r="R796" s="246"/>
      <c r="S796" s="246"/>
      <c r="T796" s="246"/>
      <c r="U796" s="246"/>
      <c r="V796" s="246"/>
    </row>
    <row r="797" spans="2:22" x14ac:dyDescent="0.25">
      <c r="B797" s="247">
        <v>26</v>
      </c>
      <c r="C797" s="247">
        <v>55</v>
      </c>
      <c r="D797" s="247">
        <v>26</v>
      </c>
      <c r="E797" s="247">
        <v>55</v>
      </c>
      <c r="F797" s="247">
        <f t="shared" si="87"/>
        <v>30</v>
      </c>
      <c r="G797" s="246">
        <v>2.5</v>
      </c>
      <c r="H797" s="247"/>
      <c r="I797" s="246"/>
      <c r="J797" s="246"/>
      <c r="K797" s="246"/>
      <c r="L797" s="246"/>
      <c r="M797" s="246"/>
      <c r="N797" s="246"/>
      <c r="O797" s="246"/>
      <c r="P797" s="246"/>
      <c r="Q797" s="246"/>
      <c r="R797" s="246"/>
      <c r="S797" s="246"/>
      <c r="T797" s="246"/>
      <c r="U797" s="246"/>
      <c r="V797" s="246"/>
    </row>
    <row r="798" spans="2:22" x14ac:dyDescent="0.25">
      <c r="B798" s="247">
        <v>56</v>
      </c>
      <c r="C798" s="247">
        <v>85</v>
      </c>
      <c r="D798" s="247">
        <v>56</v>
      </c>
      <c r="E798" s="247">
        <v>85</v>
      </c>
      <c r="F798" s="247">
        <f t="shared" si="87"/>
        <v>30</v>
      </c>
      <c r="G798" s="246">
        <v>3</v>
      </c>
      <c r="H798" s="247"/>
      <c r="I798" s="246"/>
      <c r="J798" s="246"/>
      <c r="K798" s="246"/>
      <c r="L798" s="246"/>
      <c r="M798" s="246"/>
      <c r="N798" s="246"/>
      <c r="O798" s="246"/>
      <c r="P798" s="246"/>
      <c r="Q798" s="246"/>
      <c r="R798" s="246"/>
      <c r="S798" s="246"/>
      <c r="T798" s="246"/>
      <c r="U798" s="246"/>
      <c r="V798" s="246"/>
    </row>
    <row r="799" spans="2:22" x14ac:dyDescent="0.25">
      <c r="B799" s="247">
        <v>86</v>
      </c>
      <c r="C799" s="247">
        <v>100</v>
      </c>
      <c r="D799" s="247">
        <v>86</v>
      </c>
      <c r="E799" s="247">
        <v>100</v>
      </c>
      <c r="F799" s="247">
        <f t="shared" si="87"/>
        <v>15</v>
      </c>
      <c r="G799" s="246">
        <v>3.5</v>
      </c>
      <c r="H799" s="247"/>
      <c r="I799" s="246"/>
      <c r="J799" s="246"/>
      <c r="K799" s="246"/>
      <c r="L799" s="246"/>
      <c r="M799" s="246"/>
      <c r="N799" s="246"/>
      <c r="O799" s="246"/>
      <c r="P799" s="246"/>
      <c r="Q799" s="246"/>
      <c r="R799" s="246"/>
      <c r="S799" s="246"/>
      <c r="T799" s="246"/>
      <c r="U799" s="246"/>
      <c r="V799" s="246"/>
    </row>
    <row r="800" spans="2:22" x14ac:dyDescent="0.25">
      <c r="B800" s="247">
        <v>101</v>
      </c>
      <c r="C800" s="247">
        <v>110</v>
      </c>
      <c r="D800" s="247">
        <v>101</v>
      </c>
      <c r="E800" s="247">
        <v>110</v>
      </c>
      <c r="F800" s="247">
        <f t="shared" si="87"/>
        <v>10</v>
      </c>
      <c r="G800" s="246">
        <v>3.5</v>
      </c>
      <c r="H800" s="247"/>
      <c r="I800" s="246"/>
      <c r="J800" s="246"/>
      <c r="K800" s="246"/>
      <c r="L800" s="246"/>
      <c r="M800" s="246"/>
      <c r="N800" s="246"/>
      <c r="O800" s="246"/>
      <c r="P800" s="246"/>
      <c r="Q800" s="246"/>
      <c r="R800" s="246"/>
      <c r="S800" s="246"/>
      <c r="T800" s="246"/>
      <c r="U800" s="246"/>
      <c r="V800" s="246"/>
    </row>
    <row r="801" spans="2:22" x14ac:dyDescent="0.25">
      <c r="B801" s="247">
        <v>111</v>
      </c>
      <c r="C801" s="247">
        <v>120</v>
      </c>
      <c r="D801" s="247">
        <v>111</v>
      </c>
      <c r="E801" s="247">
        <v>113</v>
      </c>
      <c r="F801" s="247">
        <f t="shared" si="87"/>
        <v>3</v>
      </c>
      <c r="G801" s="246">
        <v>4</v>
      </c>
      <c r="H801" s="247"/>
      <c r="I801" s="246"/>
      <c r="J801" s="246"/>
      <c r="K801" s="246"/>
      <c r="L801" s="246"/>
      <c r="M801" s="246"/>
      <c r="N801" s="246"/>
      <c r="O801" s="246"/>
      <c r="P801" s="246"/>
      <c r="Q801" s="246"/>
      <c r="R801" s="246"/>
      <c r="S801" s="246"/>
      <c r="T801" s="246"/>
      <c r="U801" s="246"/>
      <c r="V801" s="246"/>
    </row>
    <row r="802" spans="2:22" x14ac:dyDescent="0.25">
      <c r="B802" s="246"/>
      <c r="C802" s="246"/>
      <c r="D802" s="246"/>
      <c r="E802" s="246"/>
      <c r="F802" s="246"/>
      <c r="G802" s="246"/>
      <c r="H802" s="246"/>
      <c r="I802" s="246"/>
      <c r="J802" s="246"/>
      <c r="K802" s="246"/>
      <c r="L802" s="246"/>
      <c r="M802" s="246"/>
      <c r="N802" s="246"/>
      <c r="O802" s="246"/>
      <c r="P802" s="246"/>
      <c r="Q802" s="246"/>
      <c r="R802" s="246"/>
      <c r="S802" s="246"/>
      <c r="T802" s="246"/>
      <c r="U802" s="246"/>
      <c r="V802" s="246"/>
    </row>
    <row r="803" spans="2:22" x14ac:dyDescent="0.25">
      <c r="B803" s="386" t="s">
        <v>331</v>
      </c>
      <c r="C803" s="386"/>
      <c r="D803" s="386"/>
      <c r="E803" s="386"/>
      <c r="F803" s="386"/>
      <c r="G803" s="247"/>
      <c r="H803" s="247"/>
      <c r="I803" s="246"/>
      <c r="J803" s="246"/>
      <c r="K803" s="246"/>
      <c r="L803" s="246"/>
      <c r="M803" s="246"/>
      <c r="N803" s="246"/>
      <c r="O803" s="246"/>
      <c r="P803" s="246"/>
      <c r="Q803" s="246"/>
      <c r="R803" s="246"/>
      <c r="S803" s="246"/>
      <c r="T803" s="246"/>
      <c r="U803" s="246"/>
      <c r="V803" s="246"/>
    </row>
    <row r="804" spans="2:22" x14ac:dyDescent="0.25">
      <c r="B804" s="386" t="s">
        <v>254</v>
      </c>
      <c r="C804" s="386"/>
      <c r="D804" s="386" t="s">
        <v>254</v>
      </c>
      <c r="E804" s="386"/>
      <c r="F804" s="192" t="s">
        <v>313</v>
      </c>
      <c r="G804" s="247" t="s">
        <v>314</v>
      </c>
      <c r="H804" s="247" t="s">
        <v>316</v>
      </c>
      <c r="I804" s="246"/>
      <c r="J804" s="246"/>
      <c r="K804" s="246"/>
      <c r="L804" s="246"/>
      <c r="M804" s="246"/>
      <c r="N804" s="246"/>
      <c r="O804" s="246"/>
      <c r="P804" s="246"/>
      <c r="Q804" s="246"/>
      <c r="R804" s="246"/>
      <c r="S804" s="246"/>
      <c r="T804" s="246"/>
      <c r="U804" s="246"/>
      <c r="V804" s="246"/>
    </row>
    <row r="805" spans="2:22" x14ac:dyDescent="0.25">
      <c r="B805" s="247">
        <v>0</v>
      </c>
      <c r="C805" s="247">
        <v>10</v>
      </c>
      <c r="D805" s="247"/>
      <c r="E805" s="247"/>
      <c r="F805" s="247">
        <v>0</v>
      </c>
      <c r="G805" s="246">
        <v>1.5</v>
      </c>
      <c r="H805" s="247">
        <f>(F805*G805+F806*G806+F807*G807+F808*G808+F809*G809+F810*G810+F811*G811)/100</f>
        <v>2.9249999999999998</v>
      </c>
      <c r="I805" s="246"/>
      <c r="J805" s="246"/>
      <c r="K805" s="246"/>
      <c r="L805" s="246"/>
      <c r="M805" s="246"/>
      <c r="N805" s="246"/>
      <c r="O805" s="246"/>
      <c r="P805" s="246"/>
      <c r="Q805" s="246"/>
      <c r="R805" s="246"/>
      <c r="S805" s="246"/>
      <c r="T805" s="246"/>
      <c r="U805" s="246"/>
      <c r="V805" s="246"/>
    </row>
    <row r="806" spans="2:22" x14ac:dyDescent="0.25">
      <c r="B806" s="247">
        <v>11</v>
      </c>
      <c r="C806" s="247">
        <v>25</v>
      </c>
      <c r="D806" s="247">
        <v>14</v>
      </c>
      <c r="E806" s="247">
        <v>25</v>
      </c>
      <c r="F806" s="247">
        <f t="shared" ref="F806:F811" si="88">E806-D806+1</f>
        <v>12</v>
      </c>
      <c r="G806" s="246">
        <v>2</v>
      </c>
      <c r="H806" s="247"/>
      <c r="I806" s="246"/>
      <c r="J806" s="246"/>
      <c r="K806" s="246"/>
      <c r="L806" s="246"/>
      <c r="M806" s="246"/>
      <c r="N806" s="246"/>
      <c r="O806" s="246"/>
      <c r="P806" s="246"/>
      <c r="Q806" s="246"/>
      <c r="R806" s="246"/>
      <c r="S806" s="246"/>
      <c r="T806" s="246"/>
      <c r="U806" s="246"/>
      <c r="V806" s="246"/>
    </row>
    <row r="807" spans="2:22" x14ac:dyDescent="0.25">
      <c r="B807" s="247">
        <v>26</v>
      </c>
      <c r="C807" s="247">
        <v>55</v>
      </c>
      <c r="D807" s="247">
        <v>26</v>
      </c>
      <c r="E807" s="247">
        <v>55</v>
      </c>
      <c r="F807" s="247">
        <f t="shared" si="88"/>
        <v>30</v>
      </c>
      <c r="G807" s="246">
        <v>2.5</v>
      </c>
      <c r="H807" s="247"/>
      <c r="I807" s="246"/>
      <c r="J807" s="246"/>
      <c r="K807" s="246"/>
      <c r="L807" s="246"/>
      <c r="M807" s="246"/>
      <c r="N807" s="246"/>
      <c r="O807" s="246"/>
      <c r="P807" s="246"/>
      <c r="Q807" s="246"/>
      <c r="R807" s="246"/>
      <c r="S807" s="246"/>
      <c r="T807" s="246"/>
      <c r="U807" s="246"/>
      <c r="V807" s="246"/>
    </row>
    <row r="808" spans="2:22" x14ac:dyDescent="0.25">
      <c r="B808" s="247">
        <v>56</v>
      </c>
      <c r="C808" s="247">
        <v>85</v>
      </c>
      <c r="D808" s="247">
        <v>56</v>
      </c>
      <c r="E808" s="247">
        <v>85</v>
      </c>
      <c r="F808" s="247">
        <f t="shared" si="88"/>
        <v>30</v>
      </c>
      <c r="G808" s="246">
        <v>3</v>
      </c>
      <c r="H808" s="247"/>
      <c r="I808" s="246"/>
      <c r="J808" s="246"/>
      <c r="K808" s="246"/>
      <c r="L808" s="246"/>
      <c r="M808" s="246"/>
      <c r="N808" s="246"/>
      <c r="O808" s="246"/>
      <c r="P808" s="246"/>
      <c r="Q808" s="246"/>
      <c r="R808" s="246"/>
      <c r="S808" s="246"/>
      <c r="T808" s="246"/>
      <c r="U808" s="246"/>
      <c r="V808" s="246"/>
    </row>
    <row r="809" spans="2:22" x14ac:dyDescent="0.25">
      <c r="B809" s="247">
        <v>86</v>
      </c>
      <c r="C809" s="247">
        <v>100</v>
      </c>
      <c r="D809" s="247">
        <v>86</v>
      </c>
      <c r="E809" s="247">
        <v>100</v>
      </c>
      <c r="F809" s="247">
        <f t="shared" si="88"/>
        <v>15</v>
      </c>
      <c r="G809" s="246">
        <v>3.5</v>
      </c>
      <c r="H809" s="247"/>
      <c r="I809" s="246"/>
      <c r="J809" s="246"/>
      <c r="K809" s="246"/>
      <c r="L809" s="246"/>
      <c r="M809" s="246"/>
      <c r="N809" s="246"/>
      <c r="O809" s="246"/>
      <c r="P809" s="246"/>
      <c r="Q809" s="246"/>
      <c r="R809" s="246"/>
      <c r="S809" s="246"/>
      <c r="T809" s="246"/>
      <c r="U809" s="246"/>
      <c r="V809" s="246"/>
    </row>
    <row r="810" spans="2:22" x14ac:dyDescent="0.25">
      <c r="B810" s="247">
        <v>101</v>
      </c>
      <c r="C810" s="247">
        <v>110</v>
      </c>
      <c r="D810" s="247">
        <v>101</v>
      </c>
      <c r="E810" s="247">
        <v>110</v>
      </c>
      <c r="F810" s="247">
        <f t="shared" si="88"/>
        <v>10</v>
      </c>
      <c r="G810" s="246">
        <v>3.5</v>
      </c>
      <c r="H810" s="247"/>
      <c r="I810" s="246"/>
      <c r="J810" s="246"/>
      <c r="K810" s="246"/>
      <c r="L810" s="246"/>
      <c r="M810" s="246"/>
      <c r="N810" s="246"/>
      <c r="O810" s="246"/>
      <c r="P810" s="246"/>
      <c r="Q810" s="246"/>
      <c r="R810" s="246"/>
      <c r="S810" s="246"/>
      <c r="T810" s="246"/>
      <c r="U810" s="246"/>
      <c r="V810" s="246"/>
    </row>
    <row r="811" spans="2:22" x14ac:dyDescent="0.25">
      <c r="B811" s="247">
        <v>111</v>
      </c>
      <c r="C811" s="247">
        <v>120</v>
      </c>
      <c r="D811" s="247">
        <v>111</v>
      </c>
      <c r="E811" s="247">
        <v>114</v>
      </c>
      <c r="F811" s="247">
        <f t="shared" si="88"/>
        <v>4</v>
      </c>
      <c r="G811" s="246">
        <v>4</v>
      </c>
      <c r="H811" s="247"/>
      <c r="I811" s="246"/>
      <c r="J811" s="246"/>
      <c r="K811" s="246"/>
      <c r="L811" s="246"/>
      <c r="M811" s="246"/>
      <c r="N811" s="246"/>
      <c r="O811" s="246"/>
      <c r="P811" s="246"/>
      <c r="Q811" s="246"/>
      <c r="R811" s="246"/>
      <c r="S811" s="246"/>
      <c r="T811" s="246"/>
      <c r="U811" s="246"/>
      <c r="V811" s="246"/>
    </row>
    <row r="812" spans="2:22" x14ac:dyDescent="0.25">
      <c r="B812" s="246"/>
      <c r="C812" s="246"/>
      <c r="D812" s="246"/>
      <c r="E812" s="246"/>
      <c r="F812" s="246"/>
      <c r="G812" s="246"/>
      <c r="H812" s="246"/>
      <c r="I812" s="246"/>
      <c r="J812" s="246"/>
      <c r="K812" s="246"/>
      <c r="L812" s="246"/>
      <c r="M812" s="246"/>
      <c r="N812" s="246"/>
      <c r="O812" s="246"/>
      <c r="P812" s="246"/>
      <c r="Q812" s="246"/>
      <c r="R812" s="246"/>
      <c r="S812" s="246"/>
      <c r="T812" s="246"/>
      <c r="U812" s="246"/>
      <c r="V812" s="246"/>
    </row>
    <row r="813" spans="2:22" x14ac:dyDescent="0.25">
      <c r="B813" s="386" t="s">
        <v>332</v>
      </c>
      <c r="C813" s="386"/>
      <c r="D813" s="386"/>
      <c r="E813" s="386"/>
      <c r="F813" s="386"/>
      <c r="G813" s="247"/>
      <c r="H813" s="247"/>
      <c r="I813" s="246"/>
      <c r="J813" s="246"/>
      <c r="K813" s="246"/>
      <c r="L813" s="246"/>
      <c r="M813" s="246"/>
      <c r="N813" s="246"/>
      <c r="O813" s="246"/>
      <c r="P813" s="246"/>
      <c r="Q813" s="246"/>
      <c r="R813" s="246"/>
      <c r="S813" s="246"/>
      <c r="T813" s="246"/>
      <c r="U813" s="246"/>
      <c r="V813" s="246"/>
    </row>
    <row r="814" spans="2:22" x14ac:dyDescent="0.25">
      <c r="B814" s="386" t="s">
        <v>254</v>
      </c>
      <c r="C814" s="386"/>
      <c r="D814" s="386" t="s">
        <v>254</v>
      </c>
      <c r="E814" s="386"/>
      <c r="F814" s="192" t="s">
        <v>313</v>
      </c>
      <c r="G814" s="247" t="s">
        <v>314</v>
      </c>
      <c r="H814" s="247" t="s">
        <v>316</v>
      </c>
      <c r="I814" s="246"/>
      <c r="J814" s="246"/>
      <c r="K814" s="246"/>
      <c r="L814" s="246"/>
      <c r="M814" s="246"/>
      <c r="N814" s="246"/>
      <c r="O814" s="246"/>
      <c r="P814" s="246"/>
      <c r="Q814" s="246"/>
      <c r="R814" s="246"/>
      <c r="S814" s="246"/>
      <c r="T814" s="246"/>
      <c r="U814" s="246"/>
      <c r="V814" s="246"/>
    </row>
    <row r="815" spans="2:22" x14ac:dyDescent="0.25">
      <c r="B815" s="247">
        <v>0</v>
      </c>
      <c r="C815" s="247">
        <v>10</v>
      </c>
      <c r="D815" s="247"/>
      <c r="E815" s="247"/>
      <c r="F815" s="247">
        <v>0</v>
      </c>
      <c r="G815" s="246">
        <v>1.5</v>
      </c>
      <c r="H815" s="247">
        <f>(F815*G815+F816*G816+F817*G817+F818*G818+F819*G819+F820*G820+F821*G821)/100</f>
        <v>2.9449999999999998</v>
      </c>
      <c r="I815" s="246"/>
      <c r="J815" s="246"/>
      <c r="K815" s="246"/>
      <c r="L815" s="246"/>
      <c r="M815" s="246"/>
      <c r="N815" s="246"/>
      <c r="O815" s="246"/>
      <c r="P815" s="246"/>
      <c r="Q815" s="246"/>
      <c r="R815" s="246"/>
      <c r="S815" s="246"/>
      <c r="T815" s="246"/>
      <c r="U815" s="246"/>
      <c r="V815" s="246"/>
    </row>
    <row r="816" spans="2:22" x14ac:dyDescent="0.25">
      <c r="B816" s="247">
        <v>11</v>
      </c>
      <c r="C816" s="247">
        <v>25</v>
      </c>
      <c r="D816" s="247">
        <v>15</v>
      </c>
      <c r="E816" s="247">
        <v>25</v>
      </c>
      <c r="F816" s="247">
        <f t="shared" ref="F816:F821" si="89">E816-D816+1</f>
        <v>11</v>
      </c>
      <c r="G816" s="246">
        <v>2</v>
      </c>
      <c r="H816" s="247"/>
      <c r="I816" s="246"/>
      <c r="J816" s="246"/>
      <c r="K816" s="246"/>
      <c r="L816" s="246"/>
      <c r="M816" s="246"/>
      <c r="N816" s="246"/>
      <c r="O816" s="246"/>
      <c r="P816" s="246"/>
      <c r="Q816" s="246"/>
      <c r="R816" s="246"/>
      <c r="S816" s="246"/>
      <c r="T816" s="246"/>
      <c r="U816" s="246"/>
      <c r="V816" s="246"/>
    </row>
    <row r="817" spans="2:22" x14ac:dyDescent="0.25">
      <c r="B817" s="247">
        <v>26</v>
      </c>
      <c r="C817" s="247">
        <v>55</v>
      </c>
      <c r="D817" s="247">
        <v>26</v>
      </c>
      <c r="E817" s="247">
        <v>55</v>
      </c>
      <c r="F817" s="247">
        <f t="shared" si="89"/>
        <v>30</v>
      </c>
      <c r="G817" s="246">
        <v>2.5</v>
      </c>
      <c r="H817" s="247"/>
      <c r="I817" s="246"/>
      <c r="J817" s="246"/>
      <c r="K817" s="246"/>
      <c r="L817" s="246"/>
      <c r="M817" s="246"/>
      <c r="N817" s="246"/>
      <c r="O817" s="246"/>
      <c r="P817" s="246"/>
      <c r="Q817" s="246"/>
      <c r="R817" s="246"/>
      <c r="S817" s="246"/>
      <c r="T817" s="246"/>
      <c r="U817" s="246"/>
      <c r="V817" s="246"/>
    </row>
    <row r="818" spans="2:22" x14ac:dyDescent="0.25">
      <c r="B818" s="247">
        <v>56</v>
      </c>
      <c r="C818" s="247">
        <v>85</v>
      </c>
      <c r="D818" s="247">
        <v>56</v>
      </c>
      <c r="E818" s="247">
        <v>85</v>
      </c>
      <c r="F818" s="247">
        <f t="shared" si="89"/>
        <v>30</v>
      </c>
      <c r="G818" s="246">
        <v>3</v>
      </c>
      <c r="H818" s="247"/>
      <c r="I818" s="246"/>
      <c r="J818" s="246"/>
      <c r="K818" s="246"/>
      <c r="L818" s="246"/>
      <c r="M818" s="246"/>
      <c r="N818" s="246"/>
      <c r="O818" s="246"/>
      <c r="P818" s="246"/>
      <c r="Q818" s="246"/>
      <c r="R818" s="246"/>
      <c r="S818" s="246"/>
      <c r="T818" s="246"/>
      <c r="U818" s="246"/>
      <c r="V818" s="246"/>
    </row>
    <row r="819" spans="2:22" x14ac:dyDescent="0.25">
      <c r="B819" s="247">
        <v>86</v>
      </c>
      <c r="C819" s="247">
        <v>100</v>
      </c>
      <c r="D819" s="247">
        <v>86</v>
      </c>
      <c r="E819" s="247">
        <v>100</v>
      </c>
      <c r="F819" s="247">
        <f t="shared" si="89"/>
        <v>15</v>
      </c>
      <c r="G819" s="246">
        <v>3.5</v>
      </c>
      <c r="H819" s="247"/>
      <c r="I819" s="246"/>
      <c r="J819" s="246"/>
      <c r="K819" s="246"/>
      <c r="L819" s="246"/>
      <c r="M819" s="246"/>
      <c r="N819" s="246"/>
      <c r="O819" s="246"/>
      <c r="P819" s="246"/>
      <c r="Q819" s="246"/>
      <c r="R819" s="246"/>
      <c r="S819" s="246"/>
      <c r="T819" s="246"/>
      <c r="U819" s="246"/>
      <c r="V819" s="246"/>
    </row>
    <row r="820" spans="2:22" x14ac:dyDescent="0.25">
      <c r="B820" s="247">
        <v>101</v>
      </c>
      <c r="C820" s="247">
        <v>110</v>
      </c>
      <c r="D820" s="247">
        <v>101</v>
      </c>
      <c r="E820" s="247">
        <v>110</v>
      </c>
      <c r="F820" s="247">
        <f t="shared" si="89"/>
        <v>10</v>
      </c>
      <c r="G820" s="246">
        <v>3.5</v>
      </c>
      <c r="H820" s="247"/>
      <c r="I820" s="246"/>
      <c r="J820" s="246"/>
      <c r="K820" s="246"/>
      <c r="L820" s="246"/>
      <c r="M820" s="246"/>
      <c r="N820" s="246"/>
      <c r="O820" s="246"/>
      <c r="P820" s="246"/>
      <c r="Q820" s="246"/>
      <c r="R820" s="246"/>
      <c r="S820" s="246"/>
      <c r="T820" s="246"/>
      <c r="U820" s="246"/>
      <c r="V820" s="246"/>
    </row>
    <row r="821" spans="2:22" x14ac:dyDescent="0.25">
      <c r="B821" s="247">
        <v>111</v>
      </c>
      <c r="C821" s="247">
        <v>120</v>
      </c>
      <c r="D821" s="247">
        <v>111</v>
      </c>
      <c r="E821" s="247">
        <v>115</v>
      </c>
      <c r="F821" s="247">
        <f t="shared" si="89"/>
        <v>5</v>
      </c>
      <c r="G821" s="246">
        <v>4</v>
      </c>
      <c r="H821" s="247"/>
      <c r="I821" s="246"/>
      <c r="J821" s="246"/>
      <c r="K821" s="246"/>
      <c r="L821" s="246"/>
      <c r="M821" s="246"/>
      <c r="N821" s="246"/>
      <c r="O821" s="246"/>
      <c r="P821" s="246"/>
      <c r="Q821" s="246"/>
      <c r="R821" s="246"/>
      <c r="S821" s="246"/>
      <c r="T821" s="246"/>
      <c r="U821" s="246"/>
      <c r="V821" s="246"/>
    </row>
    <row r="822" spans="2:22" x14ac:dyDescent="0.25">
      <c r="B822" s="246"/>
      <c r="C822" s="246"/>
      <c r="D822" s="246"/>
      <c r="E822" s="246"/>
      <c r="F822" s="246"/>
      <c r="G822" s="246"/>
      <c r="H822" s="246"/>
      <c r="I822" s="246"/>
      <c r="J822" s="246"/>
      <c r="K822" s="246"/>
      <c r="L822" s="246"/>
      <c r="M822" s="246"/>
      <c r="N822" s="246"/>
      <c r="O822" s="246"/>
      <c r="P822" s="246"/>
      <c r="Q822" s="246"/>
      <c r="R822" s="246"/>
      <c r="S822" s="246"/>
      <c r="T822" s="246"/>
      <c r="U822" s="246"/>
      <c r="V822" s="246"/>
    </row>
    <row r="823" spans="2:22" x14ac:dyDescent="0.25">
      <c r="B823" s="386" t="s">
        <v>333</v>
      </c>
      <c r="C823" s="386"/>
      <c r="D823" s="386"/>
      <c r="E823" s="386"/>
      <c r="F823" s="386"/>
      <c r="G823" s="247"/>
      <c r="H823" s="247"/>
      <c r="I823" s="246"/>
      <c r="J823" s="246"/>
      <c r="K823" s="246"/>
      <c r="L823" s="246"/>
      <c r="M823" s="246"/>
      <c r="N823" s="246"/>
      <c r="O823" s="246"/>
      <c r="P823" s="246"/>
      <c r="Q823" s="246"/>
      <c r="R823" s="246"/>
      <c r="S823" s="246"/>
      <c r="T823" s="246"/>
      <c r="U823" s="246"/>
      <c r="V823" s="246"/>
    </row>
    <row r="824" spans="2:22" x14ac:dyDescent="0.25">
      <c r="B824" s="386" t="s">
        <v>254</v>
      </c>
      <c r="C824" s="386"/>
      <c r="D824" s="386" t="s">
        <v>254</v>
      </c>
      <c r="E824" s="386"/>
      <c r="F824" s="192" t="s">
        <v>313</v>
      </c>
      <c r="G824" s="247" t="s">
        <v>314</v>
      </c>
      <c r="H824" s="247" t="s">
        <v>316</v>
      </c>
      <c r="I824" s="246"/>
      <c r="J824" s="246"/>
      <c r="K824" s="246"/>
      <c r="L824" s="246"/>
      <c r="M824" s="246"/>
      <c r="N824" s="246"/>
      <c r="O824" s="246"/>
      <c r="P824" s="246"/>
      <c r="Q824" s="246"/>
      <c r="R824" s="246"/>
      <c r="S824" s="246"/>
      <c r="T824" s="246"/>
      <c r="U824" s="246"/>
      <c r="V824" s="246"/>
    </row>
    <row r="825" spans="2:22" x14ac:dyDescent="0.25">
      <c r="B825" s="247">
        <v>0</v>
      </c>
      <c r="C825" s="247">
        <v>10</v>
      </c>
      <c r="D825" s="247"/>
      <c r="E825" s="247"/>
      <c r="F825" s="247">
        <v>0</v>
      </c>
      <c r="G825" s="246">
        <v>1.5</v>
      </c>
      <c r="H825" s="247">
        <f>(F825*G825+F826*G826+F827*G827+F828*G828+F829*G829+F830*G830+F831*G831)/100</f>
        <v>2.9649999999999999</v>
      </c>
      <c r="I825" s="246"/>
      <c r="J825" s="246"/>
      <c r="K825" s="246"/>
      <c r="L825" s="246"/>
      <c r="M825" s="246"/>
      <c r="N825" s="246"/>
      <c r="O825" s="246"/>
      <c r="P825" s="246"/>
      <c r="Q825" s="246"/>
      <c r="R825" s="246"/>
      <c r="S825" s="246"/>
      <c r="T825" s="246"/>
      <c r="U825" s="246"/>
      <c r="V825" s="246"/>
    </row>
    <row r="826" spans="2:22" x14ac:dyDescent="0.25">
      <c r="B826" s="247">
        <v>11</v>
      </c>
      <c r="C826" s="247">
        <v>25</v>
      </c>
      <c r="D826" s="247">
        <v>16</v>
      </c>
      <c r="E826" s="247">
        <v>25</v>
      </c>
      <c r="F826" s="247">
        <f t="shared" ref="F826:F831" si="90">E826-D826+1</f>
        <v>10</v>
      </c>
      <c r="G826" s="246">
        <v>2</v>
      </c>
      <c r="H826" s="247"/>
      <c r="I826" s="246"/>
      <c r="J826" s="246"/>
      <c r="K826" s="246"/>
      <c r="L826" s="246"/>
      <c r="M826" s="246"/>
      <c r="N826" s="246"/>
      <c r="O826" s="246"/>
      <c r="P826" s="246"/>
      <c r="Q826" s="246"/>
      <c r="R826" s="246"/>
      <c r="S826" s="246"/>
      <c r="T826" s="246"/>
      <c r="U826" s="246"/>
      <c r="V826" s="246"/>
    </row>
    <row r="827" spans="2:22" x14ac:dyDescent="0.25">
      <c r="B827" s="247">
        <v>26</v>
      </c>
      <c r="C827" s="247">
        <v>55</v>
      </c>
      <c r="D827" s="247">
        <v>26</v>
      </c>
      <c r="E827" s="247">
        <v>55</v>
      </c>
      <c r="F827" s="247">
        <f t="shared" si="90"/>
        <v>30</v>
      </c>
      <c r="G827" s="246">
        <v>2.5</v>
      </c>
      <c r="H827" s="247"/>
      <c r="I827" s="246"/>
      <c r="J827" s="246"/>
      <c r="K827" s="246"/>
      <c r="L827" s="246"/>
      <c r="M827" s="246"/>
      <c r="N827" s="246"/>
      <c r="O827" s="246"/>
      <c r="P827" s="246"/>
      <c r="Q827" s="246"/>
      <c r="R827" s="246"/>
      <c r="S827" s="246"/>
      <c r="T827" s="246"/>
      <c r="U827" s="246"/>
      <c r="V827" s="246"/>
    </row>
    <row r="828" spans="2:22" x14ac:dyDescent="0.25">
      <c r="B828" s="247">
        <v>56</v>
      </c>
      <c r="C828" s="247">
        <v>85</v>
      </c>
      <c r="D828" s="247">
        <v>56</v>
      </c>
      <c r="E828" s="247">
        <v>85</v>
      </c>
      <c r="F828" s="247">
        <f t="shared" si="90"/>
        <v>30</v>
      </c>
      <c r="G828" s="246">
        <v>3</v>
      </c>
      <c r="H828" s="247"/>
      <c r="I828" s="246"/>
      <c r="J828" s="246"/>
      <c r="K828" s="246"/>
      <c r="L828" s="246"/>
      <c r="M828" s="246"/>
      <c r="N828" s="246"/>
      <c r="O828" s="246"/>
      <c r="P828" s="246"/>
      <c r="Q828" s="246"/>
      <c r="R828" s="246"/>
      <c r="S828" s="246"/>
      <c r="T828" s="246"/>
      <c r="U828" s="246"/>
      <c r="V828" s="246"/>
    </row>
    <row r="829" spans="2:22" x14ac:dyDescent="0.25">
      <c r="B829" s="247">
        <v>86</v>
      </c>
      <c r="C829" s="247">
        <v>100</v>
      </c>
      <c r="D829" s="247">
        <v>86</v>
      </c>
      <c r="E829" s="247">
        <v>100</v>
      </c>
      <c r="F829" s="247">
        <f t="shared" si="90"/>
        <v>15</v>
      </c>
      <c r="G829" s="246">
        <v>3.5</v>
      </c>
      <c r="H829" s="247"/>
      <c r="I829" s="246"/>
      <c r="J829" s="246"/>
      <c r="K829" s="246"/>
      <c r="L829" s="246"/>
      <c r="M829" s="246"/>
      <c r="N829" s="246"/>
      <c r="O829" s="246"/>
      <c r="P829" s="246"/>
      <c r="Q829" s="246"/>
      <c r="R829" s="246"/>
      <c r="S829" s="246"/>
      <c r="T829" s="246"/>
      <c r="U829" s="246"/>
      <c r="V829" s="246"/>
    </row>
    <row r="830" spans="2:22" x14ac:dyDescent="0.25">
      <c r="B830" s="247">
        <v>101</v>
      </c>
      <c r="C830" s="247">
        <v>110</v>
      </c>
      <c r="D830" s="247">
        <v>101</v>
      </c>
      <c r="E830" s="247">
        <v>110</v>
      </c>
      <c r="F830" s="247">
        <f t="shared" si="90"/>
        <v>10</v>
      </c>
      <c r="G830" s="246">
        <v>3.5</v>
      </c>
      <c r="H830" s="247"/>
      <c r="I830" s="246"/>
      <c r="J830" s="246"/>
      <c r="K830" s="246"/>
      <c r="L830" s="246"/>
      <c r="M830" s="246"/>
      <c r="N830" s="246"/>
      <c r="O830" s="246"/>
      <c r="P830" s="246"/>
      <c r="Q830" s="246"/>
      <c r="R830" s="246"/>
      <c r="S830" s="246"/>
      <c r="T830" s="246"/>
      <c r="U830" s="246"/>
      <c r="V830" s="246"/>
    </row>
    <row r="831" spans="2:22" x14ac:dyDescent="0.25">
      <c r="B831" s="247">
        <v>111</v>
      </c>
      <c r="C831" s="247">
        <v>120</v>
      </c>
      <c r="D831" s="247">
        <v>111</v>
      </c>
      <c r="E831" s="247">
        <v>116</v>
      </c>
      <c r="F831" s="247">
        <f t="shared" si="90"/>
        <v>6</v>
      </c>
      <c r="G831" s="246">
        <v>4</v>
      </c>
      <c r="H831" s="247"/>
      <c r="I831" s="246"/>
      <c r="J831" s="246"/>
      <c r="K831" s="246"/>
      <c r="L831" s="246"/>
      <c r="M831" s="246"/>
      <c r="N831" s="246"/>
      <c r="O831" s="246"/>
      <c r="P831" s="246"/>
      <c r="Q831" s="246"/>
      <c r="R831" s="246"/>
      <c r="S831" s="246"/>
      <c r="T831" s="246"/>
      <c r="U831" s="246"/>
      <c r="V831" s="246"/>
    </row>
    <row r="832" spans="2:22" x14ac:dyDescent="0.25">
      <c r="B832" s="246"/>
      <c r="C832" s="246"/>
      <c r="D832" s="246"/>
      <c r="E832" s="246"/>
      <c r="F832" s="246"/>
      <c r="G832" s="246"/>
      <c r="H832" s="246"/>
      <c r="I832" s="246"/>
      <c r="J832" s="246"/>
      <c r="K832" s="246"/>
      <c r="L832" s="246"/>
      <c r="M832" s="246"/>
      <c r="N832" s="246"/>
      <c r="O832" s="246"/>
      <c r="P832" s="246"/>
      <c r="Q832" s="246"/>
      <c r="R832" s="246"/>
      <c r="S832" s="246"/>
      <c r="T832" s="246"/>
      <c r="U832" s="246"/>
      <c r="V832" s="246"/>
    </row>
    <row r="833" spans="2:22" x14ac:dyDescent="0.25">
      <c r="B833" s="386" t="s">
        <v>334</v>
      </c>
      <c r="C833" s="386"/>
      <c r="D833" s="386"/>
      <c r="E833" s="386"/>
      <c r="F833" s="386"/>
      <c r="G833" s="247"/>
      <c r="H833" s="247"/>
      <c r="I833" s="246"/>
      <c r="J833" s="246"/>
      <c r="K833" s="246"/>
      <c r="L833" s="246"/>
      <c r="M833" s="246"/>
      <c r="N833" s="246"/>
      <c r="O833" s="246"/>
      <c r="P833" s="246"/>
      <c r="Q833" s="246"/>
      <c r="R833" s="246"/>
      <c r="S833" s="246"/>
      <c r="T833" s="246"/>
      <c r="U833" s="246"/>
      <c r="V833" s="246"/>
    </row>
    <row r="834" spans="2:22" x14ac:dyDescent="0.25">
      <c r="B834" s="386" t="s">
        <v>254</v>
      </c>
      <c r="C834" s="386"/>
      <c r="D834" s="386" t="s">
        <v>254</v>
      </c>
      <c r="E834" s="386"/>
      <c r="F834" s="192" t="s">
        <v>313</v>
      </c>
      <c r="G834" s="247" t="s">
        <v>314</v>
      </c>
      <c r="H834" s="247" t="s">
        <v>316</v>
      </c>
      <c r="I834" s="246"/>
      <c r="J834" s="246"/>
      <c r="K834" s="246"/>
      <c r="L834" s="246"/>
      <c r="M834" s="246"/>
      <c r="N834" s="246"/>
      <c r="O834" s="246"/>
      <c r="P834" s="246"/>
      <c r="Q834" s="246"/>
      <c r="R834" s="246"/>
      <c r="S834" s="246"/>
      <c r="T834" s="246"/>
      <c r="U834" s="246"/>
      <c r="V834" s="246"/>
    </row>
    <row r="835" spans="2:22" x14ac:dyDescent="0.25">
      <c r="B835" s="247">
        <v>0</v>
      </c>
      <c r="C835" s="247">
        <v>10</v>
      </c>
      <c r="D835" s="247"/>
      <c r="E835" s="247"/>
      <c r="F835" s="247">
        <v>0</v>
      </c>
      <c r="G835" s="246">
        <v>1.5</v>
      </c>
      <c r="H835" s="247">
        <f>(F835*G835+F836*G836+F837*G837+F838*G838+F839*G839+F840*G840+F841*G841)/100</f>
        <v>2.9849999999999999</v>
      </c>
      <c r="I835" s="246"/>
      <c r="J835" s="246"/>
      <c r="K835" s="246"/>
      <c r="L835" s="246"/>
      <c r="M835" s="246"/>
      <c r="N835" s="246"/>
      <c r="O835" s="246"/>
      <c r="P835" s="246"/>
      <c r="Q835" s="246"/>
      <c r="R835" s="246"/>
      <c r="S835" s="246"/>
      <c r="T835" s="246"/>
      <c r="U835" s="246"/>
      <c r="V835" s="246"/>
    </row>
    <row r="836" spans="2:22" x14ac:dyDescent="0.25">
      <c r="B836" s="247">
        <v>11</v>
      </c>
      <c r="C836" s="247">
        <v>25</v>
      </c>
      <c r="D836" s="247">
        <v>17</v>
      </c>
      <c r="E836" s="247">
        <v>25</v>
      </c>
      <c r="F836" s="247">
        <f t="shared" ref="F836:F841" si="91">E836-D836+1</f>
        <v>9</v>
      </c>
      <c r="G836" s="246">
        <v>2</v>
      </c>
      <c r="H836" s="247"/>
      <c r="I836" s="246"/>
      <c r="J836" s="246"/>
      <c r="K836" s="246"/>
      <c r="L836" s="246"/>
      <c r="M836" s="246"/>
      <c r="N836" s="246"/>
      <c r="O836" s="246"/>
      <c r="P836" s="246"/>
      <c r="Q836" s="246"/>
      <c r="R836" s="246"/>
      <c r="S836" s="246"/>
      <c r="T836" s="246"/>
      <c r="U836" s="246"/>
      <c r="V836" s="246"/>
    </row>
    <row r="837" spans="2:22" x14ac:dyDescent="0.25">
      <c r="B837" s="247">
        <v>26</v>
      </c>
      <c r="C837" s="247">
        <v>55</v>
      </c>
      <c r="D837" s="247">
        <v>26</v>
      </c>
      <c r="E837" s="247">
        <v>55</v>
      </c>
      <c r="F837" s="247">
        <f t="shared" si="91"/>
        <v>30</v>
      </c>
      <c r="G837" s="246">
        <v>2.5</v>
      </c>
      <c r="H837" s="247"/>
      <c r="I837" s="246"/>
      <c r="J837" s="246"/>
      <c r="K837" s="246"/>
      <c r="L837" s="246"/>
      <c r="M837" s="246"/>
      <c r="N837" s="246"/>
      <c r="O837" s="246"/>
      <c r="P837" s="246"/>
      <c r="Q837" s="246"/>
      <c r="R837" s="246"/>
      <c r="S837" s="246"/>
      <c r="T837" s="246"/>
      <c r="U837" s="246"/>
      <c r="V837" s="246"/>
    </row>
    <row r="838" spans="2:22" x14ac:dyDescent="0.25">
      <c r="B838" s="247">
        <v>56</v>
      </c>
      <c r="C838" s="247">
        <v>85</v>
      </c>
      <c r="D838" s="247">
        <v>56</v>
      </c>
      <c r="E838" s="247">
        <v>85</v>
      </c>
      <c r="F838" s="247">
        <f t="shared" si="91"/>
        <v>30</v>
      </c>
      <c r="G838" s="246">
        <v>3</v>
      </c>
      <c r="H838" s="247"/>
      <c r="I838" s="246"/>
      <c r="J838" s="246"/>
      <c r="K838" s="246"/>
      <c r="L838" s="246"/>
      <c r="M838" s="246"/>
      <c r="N838" s="246"/>
      <c r="O838" s="246"/>
      <c r="P838" s="246"/>
      <c r="Q838" s="246"/>
      <c r="R838" s="246"/>
      <c r="S838" s="246"/>
      <c r="T838" s="246"/>
      <c r="U838" s="246"/>
      <c r="V838" s="246"/>
    </row>
    <row r="839" spans="2:22" x14ac:dyDescent="0.25">
      <c r="B839" s="247">
        <v>86</v>
      </c>
      <c r="C839" s="247">
        <v>100</v>
      </c>
      <c r="D839" s="247">
        <v>86</v>
      </c>
      <c r="E839" s="247">
        <v>100</v>
      </c>
      <c r="F839" s="247">
        <f t="shared" si="91"/>
        <v>15</v>
      </c>
      <c r="G839" s="246">
        <v>3.5</v>
      </c>
      <c r="H839" s="247"/>
      <c r="I839" s="246"/>
      <c r="J839" s="246"/>
      <c r="K839" s="246"/>
      <c r="L839" s="246"/>
      <c r="M839" s="246"/>
      <c r="N839" s="246"/>
      <c r="O839" s="246"/>
      <c r="P839" s="246"/>
      <c r="Q839" s="246"/>
      <c r="R839" s="246"/>
      <c r="S839" s="246"/>
      <c r="T839" s="246"/>
      <c r="U839" s="246"/>
      <c r="V839" s="246"/>
    </row>
    <row r="840" spans="2:22" x14ac:dyDescent="0.25">
      <c r="B840" s="247">
        <v>101</v>
      </c>
      <c r="C840" s="247">
        <v>110</v>
      </c>
      <c r="D840" s="247">
        <v>101</v>
      </c>
      <c r="E840" s="247">
        <v>110</v>
      </c>
      <c r="F840" s="247">
        <f t="shared" si="91"/>
        <v>10</v>
      </c>
      <c r="G840" s="246">
        <v>3.5</v>
      </c>
      <c r="H840" s="247"/>
      <c r="I840" s="246"/>
      <c r="J840" s="246"/>
      <c r="K840" s="246"/>
      <c r="L840" s="246"/>
      <c r="M840" s="246"/>
      <c r="N840" s="246"/>
      <c r="O840" s="246"/>
      <c r="P840" s="246"/>
      <c r="Q840" s="246"/>
      <c r="R840" s="246"/>
      <c r="S840" s="246"/>
      <c r="T840" s="246"/>
      <c r="U840" s="246"/>
      <c r="V840" s="246"/>
    </row>
    <row r="841" spans="2:22" x14ac:dyDescent="0.25">
      <c r="B841" s="247">
        <v>111</v>
      </c>
      <c r="C841" s="247">
        <v>120</v>
      </c>
      <c r="D841" s="247">
        <v>111</v>
      </c>
      <c r="E841" s="247">
        <v>117</v>
      </c>
      <c r="F841" s="247">
        <f t="shared" si="91"/>
        <v>7</v>
      </c>
      <c r="G841" s="246">
        <v>4</v>
      </c>
      <c r="H841" s="247"/>
      <c r="I841" s="246"/>
      <c r="J841" s="246"/>
      <c r="K841" s="246"/>
      <c r="L841" s="246"/>
      <c r="M841" s="246"/>
      <c r="N841" s="246"/>
      <c r="O841" s="246"/>
      <c r="P841" s="246"/>
      <c r="Q841" s="246"/>
      <c r="R841" s="246"/>
      <c r="S841" s="246"/>
      <c r="T841" s="246"/>
      <c r="U841" s="246"/>
      <c r="V841" s="246"/>
    </row>
    <row r="842" spans="2:22" x14ac:dyDescent="0.25">
      <c r="B842" s="246"/>
      <c r="C842" s="246"/>
      <c r="D842" s="246"/>
      <c r="E842" s="246"/>
      <c r="F842" s="246"/>
      <c r="G842" s="246"/>
      <c r="H842" s="246"/>
      <c r="I842" s="246"/>
      <c r="J842" s="246"/>
      <c r="K842" s="246"/>
      <c r="L842" s="246"/>
      <c r="M842" s="246"/>
      <c r="N842" s="246"/>
      <c r="O842" s="246"/>
      <c r="P842" s="246"/>
      <c r="Q842" s="246"/>
      <c r="R842" s="246"/>
      <c r="S842" s="246"/>
      <c r="T842" s="246"/>
      <c r="U842" s="246"/>
      <c r="V842" s="246"/>
    </row>
    <row r="843" spans="2:22" x14ac:dyDescent="0.25">
      <c r="B843" s="386" t="s">
        <v>335</v>
      </c>
      <c r="C843" s="386"/>
      <c r="D843" s="386"/>
      <c r="E843" s="386"/>
      <c r="F843" s="386"/>
      <c r="G843" s="247"/>
      <c r="H843" s="247"/>
      <c r="I843" s="246"/>
      <c r="J843" s="246"/>
      <c r="K843" s="246"/>
      <c r="L843" s="246"/>
      <c r="M843" s="246"/>
      <c r="N843" s="246"/>
      <c r="O843" s="246"/>
      <c r="P843" s="246"/>
      <c r="Q843" s="246"/>
      <c r="R843" s="246"/>
      <c r="S843" s="246"/>
      <c r="T843" s="246"/>
      <c r="U843" s="246"/>
      <c r="V843" s="246"/>
    </row>
    <row r="844" spans="2:22" x14ac:dyDescent="0.25">
      <c r="B844" s="386" t="s">
        <v>254</v>
      </c>
      <c r="C844" s="386"/>
      <c r="D844" s="386" t="s">
        <v>254</v>
      </c>
      <c r="E844" s="386"/>
      <c r="F844" s="192" t="s">
        <v>313</v>
      </c>
      <c r="G844" s="247" t="s">
        <v>314</v>
      </c>
      <c r="H844" s="247" t="s">
        <v>316</v>
      </c>
      <c r="I844" s="246"/>
      <c r="J844" s="246"/>
      <c r="K844" s="246"/>
      <c r="L844" s="246"/>
      <c r="M844" s="246"/>
      <c r="N844" s="246"/>
      <c r="O844" s="246"/>
      <c r="P844" s="246"/>
      <c r="Q844" s="246"/>
      <c r="R844" s="246"/>
      <c r="S844" s="246"/>
      <c r="T844" s="246"/>
      <c r="U844" s="246"/>
      <c r="V844" s="246"/>
    </row>
    <row r="845" spans="2:22" x14ac:dyDescent="0.25">
      <c r="B845" s="247">
        <v>0</v>
      </c>
      <c r="C845" s="247">
        <v>10</v>
      </c>
      <c r="D845" s="247"/>
      <c r="E845" s="247"/>
      <c r="F845" s="247">
        <v>0</v>
      </c>
      <c r="G845" s="246">
        <v>1.5</v>
      </c>
      <c r="H845" s="247">
        <f>(F845*G845+F846*G846+F847*G847+F848*G848+F849*G849+F850*G850+F851*G851)/100</f>
        <v>3.0049999999999999</v>
      </c>
      <c r="I845" s="246"/>
      <c r="J845" s="246"/>
      <c r="K845" s="246"/>
      <c r="L845" s="246"/>
      <c r="M845" s="246"/>
      <c r="N845" s="246"/>
      <c r="O845" s="246"/>
      <c r="P845" s="246"/>
      <c r="Q845" s="246"/>
      <c r="R845" s="246"/>
      <c r="S845" s="246"/>
      <c r="T845" s="246"/>
      <c r="U845" s="246"/>
      <c r="V845" s="246"/>
    </row>
    <row r="846" spans="2:22" x14ac:dyDescent="0.25">
      <c r="B846" s="247">
        <v>11</v>
      </c>
      <c r="C846" s="247">
        <v>25</v>
      </c>
      <c r="D846" s="247">
        <v>18</v>
      </c>
      <c r="E846" s="247">
        <v>25</v>
      </c>
      <c r="F846" s="247">
        <f t="shared" ref="F846:F851" si="92">E846-D846+1</f>
        <v>8</v>
      </c>
      <c r="G846" s="246">
        <v>2</v>
      </c>
      <c r="H846" s="247"/>
      <c r="I846" s="246"/>
      <c r="J846" s="246"/>
      <c r="K846" s="246"/>
      <c r="L846" s="246"/>
      <c r="M846" s="246"/>
      <c r="N846" s="246"/>
      <c r="O846" s="246"/>
      <c r="P846" s="246"/>
      <c r="Q846" s="246"/>
      <c r="R846" s="246"/>
      <c r="S846" s="246"/>
      <c r="T846" s="246"/>
      <c r="U846" s="246"/>
      <c r="V846" s="246"/>
    </row>
    <row r="847" spans="2:22" x14ac:dyDescent="0.25">
      <c r="B847" s="247">
        <v>26</v>
      </c>
      <c r="C847" s="247">
        <v>55</v>
      </c>
      <c r="D847" s="247">
        <v>26</v>
      </c>
      <c r="E847" s="247">
        <v>55</v>
      </c>
      <c r="F847" s="247">
        <f t="shared" si="92"/>
        <v>30</v>
      </c>
      <c r="G847" s="246">
        <v>2.5</v>
      </c>
      <c r="H847" s="247"/>
      <c r="I847" s="246"/>
      <c r="J847" s="246"/>
      <c r="K847" s="246"/>
      <c r="L847" s="246"/>
      <c r="M847" s="246"/>
      <c r="N847" s="246"/>
      <c r="O847" s="246"/>
      <c r="P847" s="246"/>
      <c r="Q847" s="246"/>
      <c r="R847" s="246"/>
      <c r="S847" s="246"/>
      <c r="T847" s="246"/>
      <c r="U847" s="246"/>
      <c r="V847" s="246"/>
    </row>
    <row r="848" spans="2:22" x14ac:dyDescent="0.25">
      <c r="B848" s="247">
        <v>56</v>
      </c>
      <c r="C848" s="247">
        <v>85</v>
      </c>
      <c r="D848" s="247">
        <v>56</v>
      </c>
      <c r="E848" s="247">
        <v>85</v>
      </c>
      <c r="F848" s="247">
        <f t="shared" si="92"/>
        <v>30</v>
      </c>
      <c r="G848" s="246">
        <v>3</v>
      </c>
      <c r="H848" s="247"/>
      <c r="I848" s="246"/>
      <c r="J848" s="246"/>
      <c r="K848" s="246"/>
      <c r="L848" s="246"/>
      <c r="M848" s="246"/>
      <c r="N848" s="246"/>
      <c r="O848" s="246"/>
      <c r="P848" s="246"/>
      <c r="Q848" s="246"/>
      <c r="R848" s="246"/>
      <c r="S848" s="246"/>
      <c r="T848" s="246"/>
      <c r="U848" s="246"/>
      <c r="V848" s="246"/>
    </row>
    <row r="849" spans="2:22" x14ac:dyDescent="0.25">
      <c r="B849" s="247">
        <v>86</v>
      </c>
      <c r="C849" s="247">
        <v>100</v>
      </c>
      <c r="D849" s="247">
        <v>86</v>
      </c>
      <c r="E849" s="247">
        <v>100</v>
      </c>
      <c r="F849" s="247">
        <f t="shared" si="92"/>
        <v>15</v>
      </c>
      <c r="G849" s="246">
        <v>3.5</v>
      </c>
      <c r="H849" s="247"/>
      <c r="I849" s="246"/>
      <c r="J849" s="246"/>
      <c r="K849" s="246"/>
      <c r="L849" s="246"/>
      <c r="M849" s="246"/>
      <c r="N849" s="246"/>
      <c r="O849" s="246"/>
      <c r="P849" s="246"/>
      <c r="Q849" s="246"/>
      <c r="R849" s="246"/>
      <c r="S849" s="246"/>
      <c r="T849" s="246"/>
      <c r="U849" s="246"/>
      <c r="V849" s="246"/>
    </row>
    <row r="850" spans="2:22" x14ac:dyDescent="0.25">
      <c r="B850" s="247">
        <v>101</v>
      </c>
      <c r="C850" s="247">
        <v>110</v>
      </c>
      <c r="D850" s="247">
        <v>101</v>
      </c>
      <c r="E850" s="247">
        <v>110</v>
      </c>
      <c r="F850" s="247">
        <f t="shared" si="92"/>
        <v>10</v>
      </c>
      <c r="G850" s="246">
        <v>3.5</v>
      </c>
      <c r="H850" s="247"/>
      <c r="I850" s="246"/>
      <c r="J850" s="246"/>
      <c r="K850" s="246"/>
      <c r="L850" s="246"/>
      <c r="M850" s="246"/>
      <c r="N850" s="246"/>
      <c r="O850" s="246"/>
      <c r="P850" s="246"/>
      <c r="Q850" s="246"/>
      <c r="R850" s="246"/>
      <c r="S850" s="246"/>
      <c r="T850" s="246"/>
      <c r="U850" s="246"/>
      <c r="V850" s="246"/>
    </row>
    <row r="851" spans="2:22" x14ac:dyDescent="0.25">
      <c r="B851" s="247">
        <v>111</v>
      </c>
      <c r="C851" s="247">
        <v>120</v>
      </c>
      <c r="D851" s="247">
        <v>111</v>
      </c>
      <c r="E851" s="247">
        <v>118</v>
      </c>
      <c r="F851" s="247">
        <f t="shared" si="92"/>
        <v>8</v>
      </c>
      <c r="G851" s="246">
        <v>4</v>
      </c>
      <c r="H851" s="247"/>
      <c r="I851" s="246"/>
      <c r="J851" s="246"/>
      <c r="K851" s="246"/>
      <c r="L851" s="246"/>
      <c r="M851" s="246"/>
      <c r="N851" s="246"/>
      <c r="O851" s="246"/>
      <c r="P851" s="246"/>
      <c r="Q851" s="246"/>
      <c r="R851" s="246"/>
      <c r="S851" s="246"/>
      <c r="T851" s="246"/>
      <c r="U851" s="246"/>
      <c r="V851" s="246"/>
    </row>
    <row r="852" spans="2:22" x14ac:dyDescent="0.25">
      <c r="B852" s="246"/>
      <c r="C852" s="246"/>
      <c r="D852" s="246"/>
      <c r="E852" s="246"/>
      <c r="F852" s="246"/>
      <c r="G852" s="246"/>
      <c r="H852" s="246"/>
      <c r="I852" s="246"/>
      <c r="J852" s="246"/>
      <c r="K852" s="246"/>
      <c r="L852" s="246"/>
      <c r="M852" s="246"/>
      <c r="N852" s="246"/>
      <c r="O852" s="246"/>
      <c r="P852" s="246"/>
      <c r="Q852" s="246"/>
      <c r="R852" s="246"/>
      <c r="S852" s="246"/>
      <c r="T852" s="246"/>
      <c r="U852" s="246"/>
      <c r="V852" s="246"/>
    </row>
    <row r="853" spans="2:22" x14ac:dyDescent="0.25">
      <c r="B853" s="386" t="s">
        <v>336</v>
      </c>
      <c r="C853" s="386"/>
      <c r="D853" s="386"/>
      <c r="E853" s="386"/>
      <c r="F853" s="386"/>
      <c r="G853" s="247"/>
      <c r="H853" s="247"/>
      <c r="I853" s="246"/>
      <c r="J853" s="246"/>
      <c r="K853" s="246"/>
      <c r="L853" s="246"/>
      <c r="M853" s="246"/>
      <c r="N853" s="246"/>
      <c r="O853" s="246"/>
      <c r="P853" s="246"/>
      <c r="Q853" s="246"/>
      <c r="R853" s="246"/>
      <c r="S853" s="246"/>
      <c r="T853" s="246"/>
      <c r="U853" s="246"/>
      <c r="V853" s="246"/>
    </row>
    <row r="854" spans="2:22" x14ac:dyDescent="0.25">
      <c r="B854" s="386" t="s">
        <v>254</v>
      </c>
      <c r="C854" s="386"/>
      <c r="D854" s="386" t="s">
        <v>254</v>
      </c>
      <c r="E854" s="386"/>
      <c r="F854" s="192" t="s">
        <v>313</v>
      </c>
      <c r="G854" s="247" t="s">
        <v>314</v>
      </c>
      <c r="H854" s="247" t="s">
        <v>316</v>
      </c>
      <c r="I854" s="246"/>
      <c r="J854" s="246"/>
      <c r="K854" s="246"/>
      <c r="L854" s="246"/>
      <c r="M854" s="246"/>
      <c r="N854" s="246"/>
      <c r="O854" s="246"/>
      <c r="P854" s="246"/>
      <c r="Q854" s="246"/>
      <c r="R854" s="246"/>
      <c r="S854" s="246"/>
      <c r="T854" s="246"/>
      <c r="U854" s="246"/>
      <c r="V854" s="246"/>
    </row>
    <row r="855" spans="2:22" x14ac:dyDescent="0.25">
      <c r="B855" s="247">
        <v>0</v>
      </c>
      <c r="C855" s="247">
        <v>10</v>
      </c>
      <c r="D855" s="247"/>
      <c r="E855" s="247"/>
      <c r="F855" s="247">
        <v>0</v>
      </c>
      <c r="G855" s="246">
        <v>1.5</v>
      </c>
      <c r="H855" s="247">
        <f>(F855*G855+F856*G856+F857*G857+F858*G858+F859*G859+F860*G860+F861*G861)/100</f>
        <v>3.0249999999999999</v>
      </c>
      <c r="I855" s="246"/>
      <c r="J855" s="246"/>
      <c r="K855" s="246"/>
      <c r="L855" s="246"/>
      <c r="M855" s="246"/>
      <c r="N855" s="246"/>
      <c r="O855" s="246"/>
      <c r="P855" s="246"/>
      <c r="Q855" s="246"/>
      <c r="R855" s="246"/>
      <c r="S855" s="246"/>
      <c r="T855" s="246"/>
      <c r="U855" s="246"/>
      <c r="V855" s="246"/>
    </row>
    <row r="856" spans="2:22" x14ac:dyDescent="0.25">
      <c r="B856" s="247">
        <v>11</v>
      </c>
      <c r="C856" s="247">
        <v>25</v>
      </c>
      <c r="D856" s="247">
        <v>19</v>
      </c>
      <c r="E856" s="247">
        <v>25</v>
      </c>
      <c r="F856" s="247">
        <f t="shared" ref="F856:F861" si="93">E856-D856+1</f>
        <v>7</v>
      </c>
      <c r="G856" s="246">
        <v>2</v>
      </c>
      <c r="H856" s="247"/>
      <c r="I856" s="246"/>
      <c r="J856" s="246"/>
      <c r="K856" s="246"/>
      <c r="L856" s="246"/>
      <c r="M856" s="246"/>
      <c r="N856" s="246"/>
      <c r="O856" s="246"/>
      <c r="P856" s="246"/>
      <c r="Q856" s="246"/>
      <c r="R856" s="246"/>
      <c r="S856" s="246"/>
      <c r="T856" s="246"/>
      <c r="U856" s="246"/>
      <c r="V856" s="246"/>
    </row>
    <row r="857" spans="2:22" x14ac:dyDescent="0.25">
      <c r="B857" s="247">
        <v>26</v>
      </c>
      <c r="C857" s="247">
        <v>55</v>
      </c>
      <c r="D857" s="247">
        <v>26</v>
      </c>
      <c r="E857" s="247">
        <v>55</v>
      </c>
      <c r="F857" s="247">
        <f t="shared" si="93"/>
        <v>30</v>
      </c>
      <c r="G857" s="246">
        <v>2.5</v>
      </c>
      <c r="H857" s="247"/>
      <c r="I857" s="246"/>
      <c r="J857" s="246"/>
      <c r="K857" s="246"/>
      <c r="L857" s="246"/>
      <c r="M857" s="246"/>
      <c r="N857" s="246"/>
      <c r="O857" s="246"/>
      <c r="P857" s="246"/>
      <c r="Q857" s="246"/>
      <c r="R857" s="246"/>
      <c r="S857" s="246"/>
      <c r="T857" s="246"/>
      <c r="U857" s="246"/>
      <c r="V857" s="246"/>
    </row>
    <row r="858" spans="2:22" x14ac:dyDescent="0.25">
      <c r="B858" s="247">
        <v>56</v>
      </c>
      <c r="C858" s="247">
        <v>85</v>
      </c>
      <c r="D858" s="247">
        <v>56</v>
      </c>
      <c r="E858" s="247">
        <v>85</v>
      </c>
      <c r="F858" s="247">
        <f t="shared" si="93"/>
        <v>30</v>
      </c>
      <c r="G858" s="246">
        <v>3</v>
      </c>
      <c r="H858" s="247"/>
      <c r="I858" s="246"/>
      <c r="J858" s="246"/>
      <c r="K858" s="246"/>
      <c r="L858" s="246"/>
      <c r="M858" s="246"/>
      <c r="N858" s="246"/>
      <c r="O858" s="246"/>
      <c r="P858" s="246"/>
      <c r="Q858" s="246"/>
      <c r="R858" s="246"/>
      <c r="S858" s="246"/>
      <c r="T858" s="246"/>
      <c r="U858" s="246"/>
      <c r="V858" s="246"/>
    </row>
    <row r="859" spans="2:22" x14ac:dyDescent="0.25">
      <c r="B859" s="247">
        <v>86</v>
      </c>
      <c r="C859" s="247">
        <v>100</v>
      </c>
      <c r="D859" s="247">
        <v>86</v>
      </c>
      <c r="E859" s="247">
        <v>100</v>
      </c>
      <c r="F859" s="247">
        <f t="shared" si="93"/>
        <v>15</v>
      </c>
      <c r="G859" s="246">
        <v>3.5</v>
      </c>
      <c r="H859" s="247"/>
      <c r="I859" s="246"/>
      <c r="J859" s="246"/>
      <c r="K859" s="246"/>
      <c r="L859" s="246"/>
      <c r="M859" s="246"/>
      <c r="N859" s="246"/>
      <c r="O859" s="246"/>
      <c r="P859" s="246"/>
      <c r="Q859" s="246"/>
      <c r="R859" s="246"/>
      <c r="S859" s="246"/>
      <c r="T859" s="246"/>
      <c r="U859" s="246"/>
      <c r="V859" s="246"/>
    </row>
    <row r="860" spans="2:22" x14ac:dyDescent="0.25">
      <c r="B860" s="247">
        <v>101</v>
      </c>
      <c r="C860" s="247">
        <v>110</v>
      </c>
      <c r="D860" s="247">
        <v>101</v>
      </c>
      <c r="E860" s="247">
        <v>110</v>
      </c>
      <c r="F860" s="247">
        <f t="shared" si="93"/>
        <v>10</v>
      </c>
      <c r="G860" s="246">
        <v>3.5</v>
      </c>
      <c r="H860" s="247"/>
      <c r="I860" s="246"/>
      <c r="J860" s="246"/>
      <c r="K860" s="246"/>
      <c r="L860" s="246"/>
      <c r="M860" s="246"/>
      <c r="N860" s="246"/>
      <c r="O860" s="246"/>
      <c r="P860" s="246"/>
      <c r="Q860" s="246"/>
      <c r="R860" s="246"/>
      <c r="S860" s="246"/>
      <c r="T860" s="246"/>
      <c r="U860" s="246"/>
      <c r="V860" s="246"/>
    </row>
    <row r="861" spans="2:22" x14ac:dyDescent="0.25">
      <c r="B861" s="247">
        <v>111</v>
      </c>
      <c r="C861" s="247">
        <v>120</v>
      </c>
      <c r="D861" s="247">
        <v>111</v>
      </c>
      <c r="E861" s="247">
        <v>119</v>
      </c>
      <c r="F861" s="247">
        <f t="shared" si="93"/>
        <v>9</v>
      </c>
      <c r="G861" s="246">
        <v>4</v>
      </c>
      <c r="H861" s="247"/>
      <c r="I861" s="246"/>
      <c r="J861" s="246"/>
      <c r="K861" s="246"/>
      <c r="L861" s="246"/>
      <c r="M861" s="246"/>
      <c r="N861" s="246"/>
      <c r="O861" s="246"/>
      <c r="P861" s="246"/>
      <c r="Q861" s="246"/>
      <c r="R861" s="246"/>
      <c r="S861" s="246"/>
      <c r="T861" s="246"/>
      <c r="U861" s="246"/>
      <c r="V861" s="246"/>
    </row>
    <row r="862" spans="2:22" x14ac:dyDescent="0.25">
      <c r="B862" s="246"/>
      <c r="C862" s="246"/>
      <c r="D862" s="246"/>
      <c r="E862" s="246"/>
      <c r="F862" s="246"/>
      <c r="G862" s="246"/>
      <c r="H862" s="246"/>
      <c r="I862" s="246"/>
      <c r="J862" s="246"/>
      <c r="K862" s="246"/>
      <c r="L862" s="246"/>
      <c r="M862" s="246"/>
      <c r="N862" s="246"/>
      <c r="O862" s="246"/>
      <c r="P862" s="246"/>
      <c r="Q862" s="246"/>
      <c r="R862" s="246"/>
      <c r="S862" s="246"/>
      <c r="T862" s="246"/>
      <c r="U862" s="246"/>
      <c r="V862" s="246"/>
    </row>
    <row r="863" spans="2:22" x14ac:dyDescent="0.25">
      <c r="B863" s="386" t="s">
        <v>319</v>
      </c>
      <c r="C863" s="386"/>
      <c r="D863" s="386"/>
      <c r="E863" s="386"/>
      <c r="F863" s="386"/>
      <c r="G863" s="247"/>
      <c r="H863" s="247"/>
      <c r="I863" s="246"/>
      <c r="J863" s="246"/>
      <c r="K863" s="246"/>
      <c r="L863" s="246"/>
      <c r="M863" s="246"/>
      <c r="N863" s="246"/>
      <c r="O863" s="246"/>
      <c r="P863" s="246"/>
      <c r="Q863" s="246"/>
      <c r="R863" s="246"/>
      <c r="S863" s="246"/>
      <c r="T863" s="246"/>
      <c r="U863" s="246"/>
      <c r="V863" s="246"/>
    </row>
    <row r="864" spans="2:22" x14ac:dyDescent="0.25">
      <c r="B864" s="386" t="s">
        <v>254</v>
      </c>
      <c r="C864" s="386"/>
      <c r="D864" s="386" t="s">
        <v>254</v>
      </c>
      <c r="E864" s="386"/>
      <c r="F864" s="192" t="s">
        <v>313</v>
      </c>
      <c r="G864" s="247" t="s">
        <v>314</v>
      </c>
      <c r="H864" s="247" t="s">
        <v>316</v>
      </c>
      <c r="I864" s="246"/>
      <c r="J864" s="246"/>
      <c r="K864" s="246"/>
      <c r="L864" s="246"/>
      <c r="M864" s="246"/>
      <c r="N864" s="246"/>
      <c r="O864" s="246"/>
      <c r="P864" s="246"/>
      <c r="Q864" s="246"/>
      <c r="R864" s="246"/>
      <c r="S864" s="246"/>
      <c r="T864" s="246"/>
      <c r="U864" s="246"/>
      <c r="V864" s="246"/>
    </row>
    <row r="865" spans="2:22" x14ac:dyDescent="0.25">
      <c r="B865" s="247">
        <v>0</v>
      </c>
      <c r="C865" s="247">
        <v>10</v>
      </c>
      <c r="D865" s="247"/>
      <c r="E865" s="247"/>
      <c r="F865" s="247">
        <v>0</v>
      </c>
      <c r="G865" s="246">
        <v>1.5</v>
      </c>
      <c r="H865" s="247">
        <f>(F865*G865+F866*G866+F867*G867+F868*G868+F869*G869+F870*G870+F871*G871)/100</f>
        <v>3.0449999999999999</v>
      </c>
      <c r="I865" s="246"/>
      <c r="J865" s="246"/>
      <c r="K865" s="246"/>
      <c r="L865" s="246"/>
      <c r="M865" s="246"/>
      <c r="N865" s="246"/>
      <c r="O865" s="246"/>
      <c r="P865" s="246"/>
      <c r="Q865" s="246"/>
      <c r="R865" s="246"/>
      <c r="S865" s="246"/>
      <c r="T865" s="246"/>
      <c r="U865" s="246"/>
      <c r="V865" s="246"/>
    </row>
    <row r="866" spans="2:22" x14ac:dyDescent="0.25">
      <c r="B866" s="247">
        <v>11</v>
      </c>
      <c r="C866" s="247">
        <v>25</v>
      </c>
      <c r="D866" s="247">
        <v>20</v>
      </c>
      <c r="E866" s="247">
        <v>25</v>
      </c>
      <c r="F866" s="247">
        <f t="shared" ref="F866:F871" si="94">E866-D866+1</f>
        <v>6</v>
      </c>
      <c r="G866" s="246">
        <v>2</v>
      </c>
      <c r="H866" s="247"/>
      <c r="I866" s="246"/>
      <c r="J866" s="246"/>
      <c r="K866" s="246"/>
      <c r="L866" s="246"/>
      <c r="M866" s="246"/>
      <c r="N866" s="246"/>
      <c r="O866" s="246"/>
      <c r="P866" s="246"/>
      <c r="Q866" s="246"/>
      <c r="R866" s="246"/>
      <c r="S866" s="246"/>
      <c r="T866" s="246"/>
      <c r="U866" s="246"/>
      <c r="V866" s="246"/>
    </row>
    <row r="867" spans="2:22" x14ac:dyDescent="0.25">
      <c r="B867" s="247">
        <v>26</v>
      </c>
      <c r="C867" s="247">
        <v>55</v>
      </c>
      <c r="D867" s="247">
        <v>26</v>
      </c>
      <c r="E867" s="247">
        <v>55</v>
      </c>
      <c r="F867" s="247">
        <f t="shared" si="94"/>
        <v>30</v>
      </c>
      <c r="G867" s="246">
        <v>2.5</v>
      </c>
      <c r="H867" s="247"/>
      <c r="I867" s="246"/>
      <c r="J867" s="246"/>
      <c r="K867" s="246"/>
      <c r="L867" s="246"/>
      <c r="M867" s="246"/>
      <c r="N867" s="246"/>
      <c r="O867" s="246"/>
      <c r="P867" s="246"/>
      <c r="Q867" s="246"/>
      <c r="R867" s="246"/>
      <c r="S867" s="246"/>
      <c r="T867" s="246"/>
      <c r="U867" s="246"/>
      <c r="V867" s="246"/>
    </row>
    <row r="868" spans="2:22" x14ac:dyDescent="0.25">
      <c r="B868" s="247">
        <v>56</v>
      </c>
      <c r="C868" s="247">
        <v>85</v>
      </c>
      <c r="D868" s="247">
        <v>56</v>
      </c>
      <c r="E868" s="247">
        <v>85</v>
      </c>
      <c r="F868" s="247">
        <f t="shared" si="94"/>
        <v>30</v>
      </c>
      <c r="G868" s="246">
        <v>3</v>
      </c>
      <c r="H868" s="247"/>
      <c r="I868" s="246"/>
      <c r="J868" s="246"/>
      <c r="K868" s="246"/>
      <c r="L868" s="246"/>
      <c r="M868" s="246"/>
      <c r="N868" s="246"/>
      <c r="O868" s="246"/>
      <c r="P868" s="246"/>
      <c r="Q868" s="246"/>
      <c r="R868" s="246"/>
      <c r="S868" s="246"/>
      <c r="T868" s="246"/>
      <c r="U868" s="246"/>
      <c r="V868" s="246"/>
    </row>
    <row r="869" spans="2:22" x14ac:dyDescent="0.25">
      <c r="B869" s="247">
        <v>86</v>
      </c>
      <c r="C869" s="247">
        <v>100</v>
      </c>
      <c r="D869" s="247">
        <v>86</v>
      </c>
      <c r="E869" s="247">
        <v>100</v>
      </c>
      <c r="F869" s="247">
        <f t="shared" si="94"/>
        <v>15</v>
      </c>
      <c r="G869" s="246">
        <v>3.5</v>
      </c>
      <c r="H869" s="247"/>
      <c r="I869" s="246"/>
      <c r="J869" s="246"/>
      <c r="K869" s="246"/>
      <c r="L869" s="246"/>
      <c r="M869" s="246"/>
      <c r="N869" s="246"/>
      <c r="O869" s="246"/>
      <c r="P869" s="246"/>
      <c r="Q869" s="246"/>
      <c r="R869" s="246"/>
      <c r="S869" s="246"/>
      <c r="T869" s="246"/>
      <c r="U869" s="246"/>
      <c r="V869" s="246"/>
    </row>
    <row r="870" spans="2:22" x14ac:dyDescent="0.25">
      <c r="B870" s="247">
        <v>101</v>
      </c>
      <c r="C870" s="247">
        <v>110</v>
      </c>
      <c r="D870" s="247">
        <v>101</v>
      </c>
      <c r="E870" s="247">
        <v>110</v>
      </c>
      <c r="F870" s="247">
        <f t="shared" si="94"/>
        <v>10</v>
      </c>
      <c r="G870" s="246">
        <v>3.5</v>
      </c>
      <c r="H870" s="247"/>
      <c r="I870" s="246"/>
      <c r="J870" s="246"/>
      <c r="K870" s="246"/>
      <c r="L870" s="246"/>
      <c r="M870" s="246"/>
      <c r="N870" s="246"/>
      <c r="O870" s="246"/>
      <c r="P870" s="246"/>
      <c r="Q870" s="246"/>
      <c r="R870" s="246"/>
      <c r="S870" s="246"/>
      <c r="T870" s="246"/>
      <c r="U870" s="246"/>
      <c r="V870" s="246"/>
    </row>
    <row r="871" spans="2:22" x14ac:dyDescent="0.25">
      <c r="B871" s="247">
        <v>111</v>
      </c>
      <c r="C871" s="247">
        <v>120</v>
      </c>
      <c r="D871" s="247">
        <v>111</v>
      </c>
      <c r="E871" s="247">
        <v>120</v>
      </c>
      <c r="F871" s="247">
        <f t="shared" si="94"/>
        <v>10</v>
      </c>
      <c r="G871" s="246">
        <v>4</v>
      </c>
      <c r="H871" s="247"/>
      <c r="I871" s="246"/>
      <c r="J871" s="246"/>
      <c r="K871" s="246"/>
      <c r="L871" s="246"/>
      <c r="M871" s="246"/>
      <c r="N871" s="246"/>
      <c r="O871" s="246"/>
      <c r="P871" s="246"/>
      <c r="Q871" s="246"/>
      <c r="R871" s="246"/>
      <c r="S871" s="246"/>
      <c r="T871" s="246"/>
      <c r="U871" s="246"/>
      <c r="V871" s="246"/>
    </row>
    <row r="872" spans="2:22" x14ac:dyDescent="0.25">
      <c r="B872" s="246"/>
      <c r="C872" s="246"/>
      <c r="D872" s="246"/>
      <c r="E872" s="246"/>
      <c r="F872" s="246"/>
      <c r="G872" s="246"/>
      <c r="H872" s="246"/>
      <c r="I872" s="246"/>
      <c r="J872" s="246"/>
      <c r="K872" s="246"/>
      <c r="L872" s="246"/>
      <c r="M872" s="246"/>
      <c r="N872" s="246"/>
      <c r="O872" s="246"/>
      <c r="P872" s="246"/>
      <c r="Q872" s="246"/>
      <c r="R872" s="246"/>
      <c r="S872" s="246"/>
      <c r="T872" s="246"/>
      <c r="U872" s="246"/>
      <c r="V872" s="246"/>
    </row>
    <row r="873" spans="2:22" x14ac:dyDescent="0.25">
      <c r="B873" s="386" t="s">
        <v>337</v>
      </c>
      <c r="C873" s="386"/>
      <c r="D873" s="386"/>
      <c r="E873" s="386"/>
      <c r="F873" s="386"/>
      <c r="G873" s="247"/>
      <c r="H873" s="247"/>
      <c r="I873" s="246"/>
      <c r="J873" s="246"/>
      <c r="K873" s="246"/>
      <c r="L873" s="246"/>
      <c r="M873" s="246"/>
      <c r="N873" s="246"/>
      <c r="O873" s="246"/>
      <c r="P873" s="246"/>
      <c r="Q873" s="246"/>
      <c r="R873" s="246"/>
      <c r="S873" s="246"/>
      <c r="T873" s="246"/>
      <c r="U873" s="246"/>
      <c r="V873" s="246"/>
    </row>
    <row r="874" spans="2:22" x14ac:dyDescent="0.25">
      <c r="B874" s="386" t="s">
        <v>254</v>
      </c>
      <c r="C874" s="386"/>
      <c r="D874" s="386" t="s">
        <v>254</v>
      </c>
      <c r="E874" s="386"/>
      <c r="F874" s="192" t="s">
        <v>313</v>
      </c>
      <c r="G874" s="247" t="s">
        <v>314</v>
      </c>
      <c r="H874" s="247" t="s">
        <v>316</v>
      </c>
      <c r="I874" s="246"/>
      <c r="J874" s="246"/>
      <c r="K874" s="246"/>
      <c r="L874" s="246"/>
      <c r="M874" s="246"/>
      <c r="N874" s="246"/>
      <c r="O874" s="246"/>
      <c r="P874" s="246"/>
      <c r="Q874" s="246"/>
      <c r="R874" s="246"/>
      <c r="S874" s="246"/>
      <c r="T874" s="246"/>
      <c r="U874" s="246"/>
      <c r="V874" s="246"/>
    </row>
    <row r="875" spans="2:22" x14ac:dyDescent="0.25">
      <c r="B875" s="247">
        <v>0</v>
      </c>
      <c r="C875" s="247">
        <v>10</v>
      </c>
      <c r="D875" s="247"/>
      <c r="E875" s="247"/>
      <c r="F875" s="247">
        <v>0</v>
      </c>
      <c r="G875" s="246">
        <v>1.5</v>
      </c>
      <c r="H875" s="247">
        <f>(F875*G875+F876*G876+F877*G877+F878*G878+F879*G879+F880*G880+F881*G881)/100</f>
        <v>3.0649999999999999</v>
      </c>
      <c r="I875" s="246"/>
      <c r="J875" s="246"/>
      <c r="K875" s="246"/>
      <c r="L875" s="246"/>
      <c r="M875" s="246"/>
      <c r="N875" s="246"/>
      <c r="O875" s="246"/>
      <c r="P875" s="246"/>
      <c r="Q875" s="246"/>
      <c r="R875" s="246"/>
      <c r="S875" s="246"/>
      <c r="T875" s="246"/>
      <c r="U875" s="246"/>
      <c r="V875" s="246"/>
    </row>
    <row r="876" spans="2:22" x14ac:dyDescent="0.25">
      <c r="B876" s="247">
        <v>11</v>
      </c>
      <c r="C876" s="247">
        <v>25</v>
      </c>
      <c r="D876" s="247">
        <v>21</v>
      </c>
      <c r="E876" s="247">
        <v>25</v>
      </c>
      <c r="F876" s="247">
        <f t="shared" ref="F876:F881" si="95">E876-D876+1</f>
        <v>5</v>
      </c>
      <c r="G876" s="246">
        <v>2</v>
      </c>
      <c r="H876" s="247"/>
      <c r="I876" s="246"/>
      <c r="J876" s="246"/>
      <c r="K876" s="246"/>
      <c r="L876" s="246"/>
      <c r="M876" s="246"/>
      <c r="N876" s="246"/>
      <c r="O876" s="246"/>
      <c r="P876" s="246"/>
      <c r="Q876" s="246"/>
      <c r="R876" s="246"/>
      <c r="S876" s="246"/>
      <c r="T876" s="246"/>
      <c r="U876" s="246"/>
      <c r="V876" s="246"/>
    </row>
    <row r="877" spans="2:22" x14ac:dyDescent="0.25">
      <c r="B877" s="247">
        <v>26</v>
      </c>
      <c r="C877" s="247">
        <v>55</v>
      </c>
      <c r="D877" s="247">
        <v>26</v>
      </c>
      <c r="E877" s="247">
        <v>55</v>
      </c>
      <c r="F877" s="247">
        <f t="shared" si="95"/>
        <v>30</v>
      </c>
      <c r="G877" s="246">
        <v>2.5</v>
      </c>
      <c r="H877" s="247"/>
      <c r="I877" s="246"/>
      <c r="J877" s="246"/>
      <c r="K877" s="246"/>
      <c r="L877" s="246"/>
      <c r="M877" s="246"/>
      <c r="N877" s="246"/>
      <c r="O877" s="246"/>
      <c r="P877" s="246"/>
      <c r="Q877" s="246"/>
      <c r="R877" s="246"/>
      <c r="S877" s="246"/>
      <c r="T877" s="246"/>
      <c r="U877" s="246"/>
      <c r="V877" s="246"/>
    </row>
    <row r="878" spans="2:22" x14ac:dyDescent="0.25">
      <c r="B878" s="247">
        <v>56</v>
      </c>
      <c r="C878" s="247">
        <v>85</v>
      </c>
      <c r="D878" s="247">
        <v>56</v>
      </c>
      <c r="E878" s="247">
        <v>85</v>
      </c>
      <c r="F878" s="247">
        <f t="shared" si="95"/>
        <v>30</v>
      </c>
      <c r="G878" s="246">
        <v>3</v>
      </c>
      <c r="H878" s="247"/>
      <c r="I878" s="246"/>
      <c r="J878" s="246"/>
      <c r="K878" s="246"/>
      <c r="L878" s="246"/>
      <c r="M878" s="246"/>
      <c r="N878" s="246"/>
      <c r="O878" s="246"/>
      <c r="P878" s="246"/>
      <c r="Q878" s="246"/>
      <c r="R878" s="246"/>
      <c r="S878" s="246"/>
      <c r="T878" s="246"/>
      <c r="U878" s="246"/>
      <c r="V878" s="246"/>
    </row>
    <row r="879" spans="2:22" x14ac:dyDescent="0.25">
      <c r="B879" s="247">
        <v>86</v>
      </c>
      <c r="C879" s="247">
        <v>100</v>
      </c>
      <c r="D879" s="247">
        <v>86</v>
      </c>
      <c r="E879" s="247">
        <v>100</v>
      </c>
      <c r="F879" s="247">
        <f t="shared" si="95"/>
        <v>15</v>
      </c>
      <c r="G879" s="246">
        <v>3.5</v>
      </c>
      <c r="H879" s="247"/>
      <c r="I879" s="246"/>
      <c r="J879" s="246"/>
      <c r="K879" s="246"/>
      <c r="L879" s="246"/>
      <c r="M879" s="246"/>
      <c r="N879" s="246"/>
      <c r="O879" s="246"/>
      <c r="P879" s="246"/>
      <c r="Q879" s="246"/>
      <c r="R879" s="246"/>
      <c r="S879" s="246"/>
      <c r="T879" s="246"/>
      <c r="U879" s="246"/>
      <c r="V879" s="246"/>
    </row>
    <row r="880" spans="2:22" x14ac:dyDescent="0.25">
      <c r="B880" s="247">
        <v>101</v>
      </c>
      <c r="C880" s="247">
        <v>110</v>
      </c>
      <c r="D880" s="247">
        <v>101</v>
      </c>
      <c r="E880" s="247">
        <v>110</v>
      </c>
      <c r="F880" s="247">
        <f t="shared" si="95"/>
        <v>10</v>
      </c>
      <c r="G880" s="246">
        <v>3.5</v>
      </c>
      <c r="H880" s="247"/>
      <c r="I880" s="246"/>
      <c r="J880" s="246"/>
      <c r="K880" s="246"/>
      <c r="L880" s="246"/>
      <c r="M880" s="246"/>
      <c r="N880" s="246"/>
      <c r="O880" s="246"/>
      <c r="P880" s="246"/>
      <c r="Q880" s="246"/>
      <c r="R880" s="246"/>
      <c r="S880" s="246"/>
      <c r="T880" s="246"/>
      <c r="U880" s="246"/>
      <c r="V880" s="246"/>
    </row>
    <row r="881" spans="2:22" x14ac:dyDescent="0.25">
      <c r="B881" s="247">
        <v>111</v>
      </c>
      <c r="C881" s="247">
        <v>120</v>
      </c>
      <c r="D881" s="247">
        <v>111</v>
      </c>
      <c r="E881" s="247">
        <v>121</v>
      </c>
      <c r="F881" s="247">
        <f t="shared" si="95"/>
        <v>11</v>
      </c>
      <c r="G881" s="246">
        <v>4</v>
      </c>
      <c r="H881" s="247"/>
      <c r="I881" s="246"/>
      <c r="J881" s="246"/>
      <c r="K881" s="246"/>
      <c r="L881" s="246"/>
      <c r="M881" s="246"/>
      <c r="N881" s="246"/>
      <c r="O881" s="246"/>
      <c r="P881" s="246"/>
      <c r="Q881" s="246"/>
      <c r="R881" s="246"/>
      <c r="S881" s="246"/>
      <c r="T881" s="246"/>
      <c r="U881" s="246"/>
      <c r="V881" s="246"/>
    </row>
    <row r="882" spans="2:22" x14ac:dyDescent="0.25">
      <c r="B882" s="246"/>
      <c r="C882" s="246"/>
      <c r="D882" s="246"/>
      <c r="E882" s="246"/>
      <c r="F882" s="246"/>
      <c r="G882" s="246"/>
      <c r="H882" s="246"/>
      <c r="I882" s="246"/>
      <c r="J882" s="246"/>
      <c r="K882" s="246"/>
      <c r="L882" s="246"/>
      <c r="M882" s="246"/>
      <c r="N882" s="246"/>
      <c r="O882" s="246"/>
      <c r="P882" s="246"/>
      <c r="Q882" s="246"/>
      <c r="R882" s="246"/>
      <c r="S882" s="246"/>
      <c r="T882" s="246"/>
      <c r="U882" s="246"/>
      <c r="V882" s="246"/>
    </row>
    <row r="883" spans="2:22" x14ac:dyDescent="0.25">
      <c r="B883" s="386" t="s">
        <v>338</v>
      </c>
      <c r="C883" s="386"/>
      <c r="D883" s="386"/>
      <c r="E883" s="386"/>
      <c r="F883" s="386"/>
      <c r="G883" s="247"/>
      <c r="H883" s="247"/>
      <c r="I883" s="246"/>
      <c r="J883" s="246"/>
      <c r="K883" s="246"/>
      <c r="L883" s="246"/>
      <c r="M883" s="246"/>
      <c r="N883" s="246"/>
      <c r="O883" s="246"/>
      <c r="P883" s="246"/>
      <c r="Q883" s="246"/>
      <c r="R883" s="246"/>
      <c r="S883" s="246"/>
      <c r="T883" s="246"/>
      <c r="U883" s="246"/>
      <c r="V883" s="246"/>
    </row>
    <row r="884" spans="2:22" x14ac:dyDescent="0.25">
      <c r="B884" s="386" t="s">
        <v>254</v>
      </c>
      <c r="C884" s="386"/>
      <c r="D884" s="386" t="s">
        <v>254</v>
      </c>
      <c r="E884" s="386"/>
      <c r="F884" s="192" t="s">
        <v>313</v>
      </c>
      <c r="G884" s="247" t="s">
        <v>314</v>
      </c>
      <c r="H884" s="247" t="s">
        <v>316</v>
      </c>
      <c r="I884" s="246"/>
      <c r="J884" s="246"/>
      <c r="K884" s="246"/>
      <c r="L884" s="246"/>
      <c r="M884" s="246"/>
      <c r="N884" s="246"/>
      <c r="O884" s="246"/>
      <c r="P884" s="246"/>
      <c r="Q884" s="246"/>
      <c r="R884" s="246"/>
      <c r="S884" s="246"/>
      <c r="T884" s="246"/>
      <c r="U884" s="246"/>
      <c r="V884" s="246"/>
    </row>
    <row r="885" spans="2:22" x14ac:dyDescent="0.25">
      <c r="B885" s="247">
        <v>0</v>
      </c>
      <c r="C885" s="247">
        <v>10</v>
      </c>
      <c r="D885" s="247"/>
      <c r="E885" s="247"/>
      <c r="F885" s="247">
        <v>0</v>
      </c>
      <c r="G885" s="246">
        <v>1.5</v>
      </c>
      <c r="H885" s="247">
        <f>(F885*G885+F886*G886+F887*G887+F888*G888+F889*G889+F890*G890+F891*G891)/100</f>
        <v>3.085</v>
      </c>
      <c r="I885" s="246"/>
      <c r="J885" s="246"/>
      <c r="K885" s="246"/>
      <c r="L885" s="246"/>
      <c r="M885" s="246"/>
      <c r="N885" s="246"/>
      <c r="O885" s="246"/>
      <c r="P885" s="246"/>
      <c r="Q885" s="246"/>
      <c r="R885" s="246"/>
      <c r="S885" s="246"/>
      <c r="T885" s="246"/>
      <c r="U885" s="246"/>
      <c r="V885" s="246"/>
    </row>
    <row r="886" spans="2:22" x14ac:dyDescent="0.25">
      <c r="B886" s="247">
        <v>11</v>
      </c>
      <c r="C886" s="247">
        <v>25</v>
      </c>
      <c r="D886" s="247">
        <v>22</v>
      </c>
      <c r="E886" s="247">
        <v>25</v>
      </c>
      <c r="F886" s="247">
        <f t="shared" ref="F886:F891" si="96">E886-D886+1</f>
        <v>4</v>
      </c>
      <c r="G886" s="246">
        <v>2</v>
      </c>
      <c r="H886" s="247"/>
      <c r="I886" s="246"/>
      <c r="J886" s="246"/>
      <c r="K886" s="246"/>
      <c r="L886" s="246"/>
      <c r="M886" s="246"/>
      <c r="N886" s="246"/>
      <c r="O886" s="246"/>
      <c r="P886" s="246"/>
      <c r="Q886" s="246"/>
      <c r="R886" s="246"/>
      <c r="S886" s="246"/>
      <c r="T886" s="246"/>
      <c r="U886" s="246"/>
      <c r="V886" s="246"/>
    </row>
    <row r="887" spans="2:22" x14ac:dyDescent="0.25">
      <c r="B887" s="247">
        <v>26</v>
      </c>
      <c r="C887" s="247">
        <v>55</v>
      </c>
      <c r="D887" s="247">
        <v>26</v>
      </c>
      <c r="E887" s="247">
        <v>55</v>
      </c>
      <c r="F887" s="247">
        <f t="shared" si="96"/>
        <v>30</v>
      </c>
      <c r="G887" s="246">
        <v>2.5</v>
      </c>
      <c r="H887" s="247"/>
      <c r="I887" s="246"/>
      <c r="J887" s="246"/>
      <c r="K887" s="246"/>
      <c r="L887" s="246"/>
      <c r="M887" s="246"/>
      <c r="N887" s="246"/>
      <c r="O887" s="246"/>
      <c r="P887" s="246"/>
      <c r="Q887" s="246"/>
      <c r="R887" s="246"/>
      <c r="S887" s="246"/>
      <c r="T887" s="246"/>
      <c r="U887" s="246"/>
      <c r="V887" s="246"/>
    </row>
    <row r="888" spans="2:22" x14ac:dyDescent="0.25">
      <c r="B888" s="247">
        <v>56</v>
      </c>
      <c r="C888" s="247">
        <v>85</v>
      </c>
      <c r="D888" s="247">
        <v>56</v>
      </c>
      <c r="E888" s="247">
        <v>85</v>
      </c>
      <c r="F888" s="247">
        <f t="shared" si="96"/>
        <v>30</v>
      </c>
      <c r="G888" s="246">
        <v>3</v>
      </c>
      <c r="H888" s="247"/>
      <c r="I888" s="246"/>
      <c r="J888" s="246"/>
      <c r="K888" s="246"/>
      <c r="L888" s="246"/>
      <c r="M888" s="246"/>
      <c r="N888" s="246"/>
      <c r="O888" s="246"/>
      <c r="P888" s="246"/>
      <c r="Q888" s="246"/>
      <c r="R888" s="246"/>
      <c r="S888" s="246"/>
      <c r="T888" s="246"/>
      <c r="U888" s="246"/>
      <c r="V888" s="246"/>
    </row>
    <row r="889" spans="2:22" x14ac:dyDescent="0.25">
      <c r="B889" s="247">
        <v>86</v>
      </c>
      <c r="C889" s="247">
        <v>100</v>
      </c>
      <c r="D889" s="247">
        <v>86</v>
      </c>
      <c r="E889" s="247">
        <v>100</v>
      </c>
      <c r="F889" s="247">
        <f t="shared" si="96"/>
        <v>15</v>
      </c>
      <c r="G889" s="246">
        <v>3.5</v>
      </c>
      <c r="H889" s="247"/>
      <c r="I889" s="246"/>
      <c r="J889" s="246"/>
      <c r="K889" s="246"/>
      <c r="L889" s="246"/>
      <c r="M889" s="246"/>
      <c r="N889" s="246"/>
      <c r="O889" s="246"/>
      <c r="P889" s="246"/>
      <c r="Q889" s="246"/>
      <c r="R889" s="246"/>
      <c r="S889" s="246"/>
      <c r="T889" s="246"/>
      <c r="U889" s="246"/>
      <c r="V889" s="246"/>
    </row>
    <row r="890" spans="2:22" x14ac:dyDescent="0.25">
      <c r="B890" s="247">
        <v>101</v>
      </c>
      <c r="C890" s="247">
        <v>110</v>
      </c>
      <c r="D890" s="247">
        <v>101</v>
      </c>
      <c r="E890" s="247">
        <v>110</v>
      </c>
      <c r="F890" s="247">
        <f t="shared" si="96"/>
        <v>10</v>
      </c>
      <c r="G890" s="246">
        <v>3.5</v>
      </c>
      <c r="H890" s="247"/>
      <c r="I890" s="246"/>
      <c r="J890" s="246"/>
      <c r="K890" s="246"/>
      <c r="L890" s="246"/>
      <c r="M890" s="246"/>
      <c r="N890" s="246"/>
      <c r="O890" s="246"/>
      <c r="P890" s="246"/>
      <c r="Q890" s="246"/>
      <c r="R890" s="246"/>
      <c r="S890" s="246"/>
      <c r="T890" s="246"/>
      <c r="U890" s="246"/>
      <c r="V890" s="246"/>
    </row>
    <row r="891" spans="2:22" x14ac:dyDescent="0.25">
      <c r="B891" s="247">
        <v>111</v>
      </c>
      <c r="C891" s="247">
        <v>120</v>
      </c>
      <c r="D891" s="247">
        <v>111</v>
      </c>
      <c r="E891" s="247">
        <v>122</v>
      </c>
      <c r="F891" s="247">
        <f t="shared" si="96"/>
        <v>12</v>
      </c>
      <c r="G891" s="246">
        <v>4</v>
      </c>
      <c r="H891" s="247"/>
      <c r="I891" s="246"/>
      <c r="J891" s="246"/>
      <c r="K891" s="246"/>
      <c r="L891" s="246"/>
      <c r="M891" s="246"/>
      <c r="N891" s="246"/>
      <c r="O891" s="246"/>
      <c r="P891" s="246"/>
      <c r="Q891" s="246"/>
      <c r="R891" s="246"/>
      <c r="S891" s="246"/>
      <c r="T891" s="246"/>
      <c r="U891" s="246"/>
      <c r="V891" s="246"/>
    </row>
    <row r="892" spans="2:22" x14ac:dyDescent="0.25">
      <c r="B892" s="246"/>
      <c r="C892" s="246"/>
      <c r="D892" s="246"/>
      <c r="E892" s="246"/>
      <c r="F892" s="246"/>
      <c r="G892" s="246"/>
      <c r="H892" s="246"/>
      <c r="I892" s="246"/>
      <c r="J892" s="246"/>
      <c r="K892" s="246"/>
      <c r="L892" s="246"/>
      <c r="M892" s="246"/>
      <c r="N892" s="246"/>
      <c r="O892" s="246"/>
      <c r="P892" s="246"/>
      <c r="Q892" s="246"/>
      <c r="R892" s="246"/>
      <c r="S892" s="246"/>
      <c r="T892" s="246"/>
      <c r="U892" s="246"/>
      <c r="V892" s="246"/>
    </row>
    <row r="893" spans="2:22" x14ac:dyDescent="0.25">
      <c r="B893" s="386" t="s">
        <v>339</v>
      </c>
      <c r="C893" s="386"/>
      <c r="D893" s="386"/>
      <c r="E893" s="386"/>
      <c r="F893" s="386"/>
      <c r="G893" s="247"/>
      <c r="H893" s="247"/>
      <c r="I893" s="246"/>
      <c r="J893" s="246"/>
      <c r="K893" s="246"/>
      <c r="L893" s="246"/>
      <c r="M893" s="246"/>
      <c r="N893" s="246"/>
      <c r="O893" s="246"/>
      <c r="P893" s="246"/>
      <c r="Q893" s="246"/>
      <c r="R893" s="246"/>
      <c r="S893" s="246"/>
      <c r="T893" s="246"/>
      <c r="U893" s="246"/>
      <c r="V893" s="246"/>
    </row>
    <row r="894" spans="2:22" x14ac:dyDescent="0.25">
      <c r="B894" s="386" t="s">
        <v>254</v>
      </c>
      <c r="C894" s="386"/>
      <c r="D894" s="386" t="s">
        <v>254</v>
      </c>
      <c r="E894" s="386"/>
      <c r="F894" s="192" t="s">
        <v>313</v>
      </c>
      <c r="G894" s="247" t="s">
        <v>314</v>
      </c>
      <c r="H894" s="247" t="s">
        <v>316</v>
      </c>
      <c r="I894" s="246"/>
      <c r="J894" s="246"/>
      <c r="K894" s="246"/>
      <c r="L894" s="246"/>
      <c r="M894" s="246"/>
      <c r="N894" s="246"/>
      <c r="O894" s="246"/>
      <c r="P894" s="246"/>
      <c r="Q894" s="246"/>
      <c r="R894" s="246"/>
      <c r="S894" s="246"/>
      <c r="T894" s="246"/>
      <c r="U894" s="246"/>
      <c r="V894" s="246"/>
    </row>
    <row r="895" spans="2:22" x14ac:dyDescent="0.25">
      <c r="B895" s="247">
        <v>0</v>
      </c>
      <c r="C895" s="247">
        <v>10</v>
      </c>
      <c r="D895" s="247"/>
      <c r="E895" s="247"/>
      <c r="F895" s="247">
        <v>0</v>
      </c>
      <c r="G895" s="246">
        <v>1.5</v>
      </c>
      <c r="H895" s="247">
        <f>(F895*G895+F896*G896+F897*G897+F898*G898+F899*G899+F900*G900+F901*G901)/100</f>
        <v>3.105</v>
      </c>
      <c r="I895" s="246"/>
      <c r="J895" s="246"/>
      <c r="K895" s="246"/>
      <c r="L895" s="246"/>
      <c r="M895" s="246"/>
      <c r="N895" s="246"/>
      <c r="O895" s="246"/>
      <c r="P895" s="246"/>
      <c r="Q895" s="246"/>
      <c r="R895" s="246"/>
      <c r="S895" s="246"/>
      <c r="T895" s="246"/>
      <c r="U895" s="246"/>
      <c r="V895" s="246"/>
    </row>
    <row r="896" spans="2:22" x14ac:dyDescent="0.25">
      <c r="B896" s="247">
        <v>11</v>
      </c>
      <c r="C896" s="247">
        <v>25</v>
      </c>
      <c r="D896" s="247">
        <v>23</v>
      </c>
      <c r="E896" s="247">
        <v>25</v>
      </c>
      <c r="F896" s="247">
        <f t="shared" ref="F896:F901" si="97">E896-D896+1</f>
        <v>3</v>
      </c>
      <c r="G896" s="246">
        <v>2</v>
      </c>
      <c r="H896" s="247"/>
      <c r="I896" s="246"/>
      <c r="J896" s="246"/>
      <c r="K896" s="246"/>
      <c r="L896" s="246"/>
      <c r="M896" s="246"/>
      <c r="N896" s="246"/>
      <c r="O896" s="246"/>
      <c r="P896" s="246"/>
      <c r="Q896" s="246"/>
      <c r="R896" s="246"/>
      <c r="S896" s="246"/>
      <c r="T896" s="246"/>
      <c r="U896" s="246"/>
      <c r="V896" s="246"/>
    </row>
    <row r="897" spans="2:22" x14ac:dyDescent="0.25">
      <c r="B897" s="247">
        <v>26</v>
      </c>
      <c r="C897" s="247">
        <v>55</v>
      </c>
      <c r="D897" s="247">
        <v>26</v>
      </c>
      <c r="E897" s="247">
        <v>55</v>
      </c>
      <c r="F897" s="247">
        <f t="shared" si="97"/>
        <v>30</v>
      </c>
      <c r="G897" s="246">
        <v>2.5</v>
      </c>
      <c r="H897" s="247"/>
      <c r="I897" s="246"/>
      <c r="J897" s="246"/>
      <c r="K897" s="246"/>
      <c r="L897" s="246"/>
      <c r="M897" s="246"/>
      <c r="N897" s="246"/>
      <c r="O897" s="246"/>
      <c r="P897" s="246"/>
      <c r="Q897" s="246"/>
      <c r="R897" s="246"/>
      <c r="S897" s="246"/>
      <c r="T897" s="246"/>
      <c r="U897" s="246"/>
      <c r="V897" s="246"/>
    </row>
    <row r="898" spans="2:22" x14ac:dyDescent="0.25">
      <c r="B898" s="247">
        <v>56</v>
      </c>
      <c r="C898" s="247">
        <v>85</v>
      </c>
      <c r="D898" s="247">
        <v>56</v>
      </c>
      <c r="E898" s="247">
        <v>85</v>
      </c>
      <c r="F898" s="247">
        <f t="shared" si="97"/>
        <v>30</v>
      </c>
      <c r="G898" s="246">
        <v>3</v>
      </c>
      <c r="H898" s="247"/>
      <c r="I898" s="246"/>
      <c r="J898" s="246"/>
      <c r="K898" s="246"/>
      <c r="L898" s="246"/>
      <c r="M898" s="246"/>
      <c r="N898" s="246"/>
      <c r="O898" s="246"/>
      <c r="P898" s="246"/>
      <c r="Q898" s="246"/>
      <c r="R898" s="246"/>
      <c r="S898" s="246"/>
      <c r="T898" s="246"/>
      <c r="U898" s="246"/>
      <c r="V898" s="246"/>
    </row>
    <row r="899" spans="2:22" x14ac:dyDescent="0.25">
      <c r="B899" s="247">
        <v>86</v>
      </c>
      <c r="C899" s="247">
        <v>100</v>
      </c>
      <c r="D899" s="247">
        <v>86</v>
      </c>
      <c r="E899" s="247">
        <v>100</v>
      </c>
      <c r="F899" s="247">
        <f t="shared" si="97"/>
        <v>15</v>
      </c>
      <c r="G899" s="246">
        <v>3.5</v>
      </c>
      <c r="H899" s="247"/>
      <c r="I899" s="246"/>
      <c r="J899" s="246"/>
      <c r="K899" s="246"/>
      <c r="L899" s="246"/>
      <c r="M899" s="246"/>
      <c r="N899" s="246"/>
      <c r="O899" s="246"/>
      <c r="P899" s="246"/>
      <c r="Q899" s="246"/>
      <c r="R899" s="246"/>
      <c r="S899" s="246"/>
      <c r="T899" s="246"/>
      <c r="U899" s="246"/>
      <c r="V899" s="246"/>
    </row>
    <row r="900" spans="2:22" x14ac:dyDescent="0.25">
      <c r="B900" s="247">
        <v>101</v>
      </c>
      <c r="C900" s="247">
        <v>110</v>
      </c>
      <c r="D900" s="247">
        <v>101</v>
      </c>
      <c r="E900" s="247">
        <v>110</v>
      </c>
      <c r="F900" s="247">
        <f t="shared" si="97"/>
        <v>10</v>
      </c>
      <c r="G900" s="246">
        <v>3.5</v>
      </c>
      <c r="H900" s="247"/>
      <c r="I900" s="246"/>
      <c r="J900" s="246"/>
      <c r="K900" s="246"/>
      <c r="L900" s="246"/>
      <c r="M900" s="246"/>
      <c r="N900" s="246"/>
      <c r="O900" s="246"/>
      <c r="P900" s="246"/>
      <c r="Q900" s="246"/>
      <c r="R900" s="246"/>
      <c r="S900" s="246"/>
      <c r="T900" s="246"/>
      <c r="U900" s="246"/>
      <c r="V900" s="246"/>
    </row>
    <row r="901" spans="2:22" x14ac:dyDescent="0.25">
      <c r="B901" s="247">
        <v>111</v>
      </c>
      <c r="C901" s="247">
        <v>120</v>
      </c>
      <c r="D901" s="247">
        <v>111</v>
      </c>
      <c r="E901" s="247">
        <v>123</v>
      </c>
      <c r="F901" s="247">
        <f t="shared" si="97"/>
        <v>13</v>
      </c>
      <c r="G901" s="246">
        <v>4</v>
      </c>
      <c r="H901" s="247"/>
      <c r="I901" s="246"/>
      <c r="J901" s="246"/>
      <c r="K901" s="246"/>
      <c r="L901" s="246"/>
      <c r="M901" s="246"/>
      <c r="N901" s="246"/>
      <c r="O901" s="246"/>
      <c r="P901" s="246"/>
      <c r="Q901" s="246"/>
      <c r="R901" s="246"/>
      <c r="S901" s="246"/>
      <c r="T901" s="246"/>
      <c r="U901" s="246"/>
      <c r="V901" s="246"/>
    </row>
    <row r="902" spans="2:22" x14ac:dyDescent="0.25">
      <c r="B902" s="246"/>
      <c r="C902" s="246"/>
      <c r="D902" s="246"/>
      <c r="E902" s="246"/>
      <c r="F902" s="246"/>
      <c r="G902" s="246"/>
      <c r="H902" s="246"/>
      <c r="I902" s="246"/>
      <c r="J902" s="246"/>
      <c r="K902" s="246"/>
      <c r="L902" s="246"/>
      <c r="M902" s="246"/>
      <c r="N902" s="246"/>
      <c r="O902" s="246"/>
      <c r="P902" s="246"/>
      <c r="Q902" s="246"/>
      <c r="R902" s="246"/>
      <c r="S902" s="246"/>
      <c r="T902" s="246"/>
      <c r="U902" s="246"/>
      <c r="V902" s="246"/>
    </row>
    <row r="903" spans="2:22" x14ac:dyDescent="0.25">
      <c r="B903" s="386" t="s">
        <v>340</v>
      </c>
      <c r="C903" s="386"/>
      <c r="D903" s="386"/>
      <c r="E903" s="386"/>
      <c r="F903" s="386"/>
      <c r="G903" s="247"/>
      <c r="H903" s="247"/>
      <c r="I903" s="246"/>
      <c r="J903" s="246"/>
      <c r="K903" s="246"/>
      <c r="L903" s="246"/>
      <c r="M903" s="246"/>
      <c r="N903" s="246"/>
      <c r="O903" s="246"/>
      <c r="P903" s="246"/>
      <c r="Q903" s="246"/>
      <c r="R903" s="246"/>
      <c r="S903" s="246"/>
      <c r="T903" s="246"/>
      <c r="U903" s="246"/>
      <c r="V903" s="246"/>
    </row>
    <row r="904" spans="2:22" x14ac:dyDescent="0.25">
      <c r="B904" s="386" t="s">
        <v>254</v>
      </c>
      <c r="C904" s="386"/>
      <c r="D904" s="386" t="s">
        <v>254</v>
      </c>
      <c r="E904" s="386"/>
      <c r="F904" s="192" t="s">
        <v>313</v>
      </c>
      <c r="G904" s="247" t="s">
        <v>314</v>
      </c>
      <c r="H904" s="247" t="s">
        <v>316</v>
      </c>
      <c r="I904" s="246"/>
      <c r="J904" s="246"/>
      <c r="K904" s="246"/>
      <c r="L904" s="246"/>
      <c r="M904" s="246"/>
      <c r="N904" s="246"/>
      <c r="O904" s="246"/>
      <c r="P904" s="246"/>
      <c r="Q904" s="246"/>
      <c r="R904" s="246"/>
      <c r="S904" s="246"/>
      <c r="T904" s="246"/>
      <c r="U904" s="246"/>
      <c r="V904" s="246"/>
    </row>
    <row r="905" spans="2:22" x14ac:dyDescent="0.25">
      <c r="B905" s="247">
        <v>0</v>
      </c>
      <c r="C905" s="247">
        <v>10</v>
      </c>
      <c r="D905" s="247"/>
      <c r="E905" s="247"/>
      <c r="F905" s="247">
        <v>0</v>
      </c>
      <c r="G905" s="246">
        <v>1.5</v>
      </c>
      <c r="H905" s="247">
        <f>(F905*G905+F906*G906+F907*G907+F908*G908+F909*G909+F910*G910+F911*G911)/100</f>
        <v>3.125</v>
      </c>
      <c r="I905" s="246"/>
      <c r="J905" s="246"/>
      <c r="K905" s="246"/>
      <c r="L905" s="246"/>
      <c r="M905" s="246"/>
      <c r="N905" s="246"/>
      <c r="O905" s="246"/>
      <c r="P905" s="246"/>
      <c r="Q905" s="246"/>
      <c r="R905" s="246"/>
      <c r="S905" s="246"/>
      <c r="T905" s="246"/>
      <c r="U905" s="246"/>
      <c r="V905" s="246"/>
    </row>
    <row r="906" spans="2:22" x14ac:dyDescent="0.25">
      <c r="B906" s="247">
        <v>11</v>
      </c>
      <c r="C906" s="247">
        <v>25</v>
      </c>
      <c r="D906" s="247">
        <v>24</v>
      </c>
      <c r="E906" s="247">
        <v>25</v>
      </c>
      <c r="F906" s="247">
        <f t="shared" ref="F906:F911" si="98">E906-D906+1</f>
        <v>2</v>
      </c>
      <c r="G906" s="246">
        <v>2</v>
      </c>
      <c r="H906" s="247"/>
      <c r="I906" s="246"/>
      <c r="J906" s="246"/>
      <c r="K906" s="246"/>
      <c r="L906" s="246"/>
      <c r="M906" s="246"/>
      <c r="N906" s="246"/>
      <c r="O906" s="246"/>
      <c r="P906" s="246"/>
      <c r="Q906" s="246"/>
      <c r="R906" s="246"/>
      <c r="S906" s="246"/>
      <c r="T906" s="246"/>
      <c r="U906" s="246"/>
      <c r="V906" s="246"/>
    </row>
    <row r="907" spans="2:22" x14ac:dyDescent="0.25">
      <c r="B907" s="247">
        <v>26</v>
      </c>
      <c r="C907" s="247">
        <v>55</v>
      </c>
      <c r="D907" s="247">
        <v>26</v>
      </c>
      <c r="E907" s="247">
        <v>55</v>
      </c>
      <c r="F907" s="247">
        <f t="shared" si="98"/>
        <v>30</v>
      </c>
      <c r="G907" s="246">
        <v>2.5</v>
      </c>
      <c r="H907" s="247"/>
      <c r="I907" s="246"/>
      <c r="J907" s="246"/>
      <c r="K907" s="246"/>
      <c r="L907" s="246"/>
      <c r="M907" s="246"/>
      <c r="N907" s="246"/>
      <c r="O907" s="246"/>
      <c r="P907" s="246"/>
      <c r="Q907" s="246"/>
      <c r="R907" s="246"/>
      <c r="S907" s="246"/>
      <c r="T907" s="246"/>
      <c r="U907" s="246"/>
      <c r="V907" s="246"/>
    </row>
    <row r="908" spans="2:22" x14ac:dyDescent="0.25">
      <c r="B908" s="247">
        <v>56</v>
      </c>
      <c r="C908" s="247">
        <v>85</v>
      </c>
      <c r="D908" s="247">
        <v>56</v>
      </c>
      <c r="E908" s="247">
        <v>85</v>
      </c>
      <c r="F908" s="247">
        <f t="shared" si="98"/>
        <v>30</v>
      </c>
      <c r="G908" s="246">
        <v>3</v>
      </c>
      <c r="H908" s="247"/>
      <c r="I908" s="246"/>
      <c r="J908" s="246"/>
      <c r="K908" s="246"/>
      <c r="L908" s="246"/>
      <c r="M908" s="246"/>
      <c r="N908" s="246"/>
      <c r="O908" s="246"/>
      <c r="P908" s="246"/>
      <c r="Q908" s="246"/>
      <c r="R908" s="246"/>
      <c r="S908" s="246"/>
      <c r="T908" s="246"/>
      <c r="U908" s="246"/>
      <c r="V908" s="246"/>
    </row>
    <row r="909" spans="2:22" x14ac:dyDescent="0.25">
      <c r="B909" s="247">
        <v>86</v>
      </c>
      <c r="C909" s="247">
        <v>100</v>
      </c>
      <c r="D909" s="247">
        <v>86</v>
      </c>
      <c r="E909" s="247">
        <v>100</v>
      </c>
      <c r="F909" s="247">
        <f t="shared" si="98"/>
        <v>15</v>
      </c>
      <c r="G909" s="246">
        <v>3.5</v>
      </c>
      <c r="H909" s="247"/>
      <c r="I909" s="246"/>
      <c r="J909" s="246"/>
      <c r="K909" s="246"/>
      <c r="L909" s="246"/>
      <c r="M909" s="246"/>
      <c r="N909" s="246"/>
      <c r="O909" s="246"/>
      <c r="P909" s="246"/>
      <c r="Q909" s="246"/>
      <c r="R909" s="246"/>
      <c r="S909" s="246"/>
      <c r="T909" s="246"/>
      <c r="U909" s="246"/>
      <c r="V909" s="246"/>
    </row>
    <row r="910" spans="2:22" x14ac:dyDescent="0.25">
      <c r="B910" s="247">
        <v>101</v>
      </c>
      <c r="C910" s="247">
        <v>110</v>
      </c>
      <c r="D910" s="247">
        <v>101</v>
      </c>
      <c r="E910" s="247">
        <v>110</v>
      </c>
      <c r="F910" s="247">
        <f t="shared" si="98"/>
        <v>10</v>
      </c>
      <c r="G910" s="246">
        <v>3.5</v>
      </c>
      <c r="H910" s="247"/>
      <c r="I910" s="246"/>
      <c r="J910" s="246"/>
      <c r="K910" s="246"/>
      <c r="L910" s="246"/>
      <c r="M910" s="246"/>
      <c r="N910" s="246"/>
      <c r="O910" s="246"/>
      <c r="P910" s="246"/>
      <c r="Q910" s="246"/>
      <c r="R910" s="246"/>
      <c r="S910" s="246"/>
      <c r="T910" s="246"/>
      <c r="U910" s="246"/>
      <c r="V910" s="246"/>
    </row>
    <row r="911" spans="2:22" x14ac:dyDescent="0.25">
      <c r="B911" s="247">
        <v>111</v>
      </c>
      <c r="C911" s="247">
        <v>120</v>
      </c>
      <c r="D911" s="247">
        <v>111</v>
      </c>
      <c r="E911" s="247">
        <v>124</v>
      </c>
      <c r="F911" s="247">
        <f t="shared" si="98"/>
        <v>14</v>
      </c>
      <c r="G911" s="246">
        <v>4</v>
      </c>
      <c r="H911" s="247"/>
      <c r="I911" s="246"/>
      <c r="J911" s="246"/>
      <c r="K911" s="246"/>
      <c r="L911" s="246"/>
      <c r="M911" s="246"/>
      <c r="N911" s="246"/>
      <c r="O911" s="246"/>
      <c r="P911" s="246"/>
      <c r="Q911" s="246"/>
      <c r="R911" s="246"/>
      <c r="S911" s="246"/>
      <c r="T911" s="246"/>
      <c r="U911" s="246"/>
      <c r="V911" s="246"/>
    </row>
    <row r="912" spans="2:22" x14ac:dyDescent="0.25">
      <c r="B912" s="246"/>
      <c r="C912" s="246"/>
      <c r="D912" s="246"/>
      <c r="E912" s="246"/>
      <c r="F912" s="246"/>
      <c r="G912" s="246"/>
      <c r="H912" s="246"/>
      <c r="I912" s="246"/>
      <c r="J912" s="246"/>
      <c r="K912" s="246"/>
      <c r="L912" s="246"/>
      <c r="M912" s="246"/>
      <c r="N912" s="246"/>
      <c r="O912" s="246"/>
      <c r="P912" s="246"/>
      <c r="Q912" s="246"/>
      <c r="R912" s="246"/>
      <c r="S912" s="246"/>
      <c r="T912" s="246"/>
      <c r="U912" s="246"/>
      <c r="V912" s="246"/>
    </row>
    <row r="913" spans="2:22" x14ac:dyDescent="0.25">
      <c r="B913" s="386" t="s">
        <v>341</v>
      </c>
      <c r="C913" s="386"/>
      <c r="D913" s="386"/>
      <c r="E913" s="386"/>
      <c r="F913" s="386"/>
      <c r="G913" s="247"/>
      <c r="H913" s="247"/>
      <c r="I913" s="246"/>
      <c r="J913" s="246"/>
      <c r="K913" s="246"/>
      <c r="L913" s="246"/>
      <c r="M913" s="246"/>
      <c r="N913" s="246"/>
      <c r="O913" s="246"/>
      <c r="P913" s="246"/>
      <c r="Q913" s="246"/>
      <c r="R913" s="246"/>
      <c r="S913" s="246"/>
      <c r="T913" s="246"/>
      <c r="U913" s="246"/>
      <c r="V913" s="246"/>
    </row>
    <row r="914" spans="2:22" x14ac:dyDescent="0.25">
      <c r="B914" s="386" t="s">
        <v>254</v>
      </c>
      <c r="C914" s="386"/>
      <c r="D914" s="386" t="s">
        <v>254</v>
      </c>
      <c r="E914" s="386"/>
      <c r="F914" s="192" t="s">
        <v>313</v>
      </c>
      <c r="G914" s="247" t="s">
        <v>314</v>
      </c>
      <c r="H914" s="247" t="s">
        <v>316</v>
      </c>
      <c r="I914" s="246"/>
      <c r="J914" s="246"/>
      <c r="K914" s="246"/>
      <c r="L914" s="246"/>
      <c r="M914" s="246"/>
      <c r="N914" s="246"/>
      <c r="O914" s="246"/>
      <c r="P914" s="246"/>
      <c r="Q914" s="246"/>
      <c r="R914" s="246"/>
      <c r="S914" s="246"/>
      <c r="T914" s="246"/>
      <c r="U914" s="246"/>
      <c r="V914" s="246"/>
    </row>
    <row r="915" spans="2:22" x14ac:dyDescent="0.25">
      <c r="B915" s="247">
        <v>0</v>
      </c>
      <c r="C915" s="247">
        <v>10</v>
      </c>
      <c r="D915" s="247"/>
      <c r="E915" s="247"/>
      <c r="F915" s="247">
        <v>0</v>
      </c>
      <c r="G915" s="246">
        <v>1.5</v>
      </c>
      <c r="H915" s="247">
        <f>(F915*G915+F916*G916+F917*G917+F918*G918+F919*G919+F920*G920+F921*G921)/100</f>
        <v>3.145</v>
      </c>
      <c r="I915" s="246"/>
      <c r="J915" s="246"/>
      <c r="K915" s="246"/>
      <c r="L915" s="246"/>
      <c r="M915" s="246"/>
      <c r="N915" s="246"/>
      <c r="O915" s="246"/>
      <c r="P915" s="246"/>
      <c r="Q915" s="246"/>
      <c r="R915" s="246"/>
      <c r="S915" s="246"/>
      <c r="T915" s="246"/>
      <c r="U915" s="246"/>
      <c r="V915" s="246"/>
    </row>
    <row r="916" spans="2:22" x14ac:dyDescent="0.25">
      <c r="B916" s="247">
        <v>11</v>
      </c>
      <c r="C916" s="247">
        <v>25</v>
      </c>
      <c r="D916" s="247">
        <v>25</v>
      </c>
      <c r="E916" s="247">
        <v>25</v>
      </c>
      <c r="F916" s="247">
        <f t="shared" ref="F916:F921" si="99">E916-D916+1</f>
        <v>1</v>
      </c>
      <c r="G916" s="246">
        <v>2</v>
      </c>
      <c r="H916" s="247"/>
      <c r="I916" s="246"/>
      <c r="J916" s="246"/>
      <c r="K916" s="246"/>
      <c r="L916" s="246"/>
      <c r="M916" s="246"/>
      <c r="N916" s="246"/>
      <c r="O916" s="246"/>
      <c r="P916" s="246"/>
      <c r="Q916" s="246"/>
      <c r="R916" s="246"/>
      <c r="S916" s="246"/>
      <c r="T916" s="246"/>
      <c r="U916" s="246"/>
      <c r="V916" s="246"/>
    </row>
    <row r="917" spans="2:22" x14ac:dyDescent="0.25">
      <c r="B917" s="247">
        <v>26</v>
      </c>
      <c r="C917" s="247">
        <v>55</v>
      </c>
      <c r="D917" s="247">
        <v>26</v>
      </c>
      <c r="E917" s="247">
        <v>55</v>
      </c>
      <c r="F917" s="247">
        <f t="shared" si="99"/>
        <v>30</v>
      </c>
      <c r="G917" s="246">
        <v>2.5</v>
      </c>
      <c r="H917" s="247"/>
      <c r="I917" s="246"/>
      <c r="J917" s="246"/>
      <c r="K917" s="246"/>
      <c r="L917" s="246"/>
      <c r="M917" s="246"/>
      <c r="N917" s="246"/>
      <c r="O917" s="246"/>
      <c r="P917" s="246"/>
      <c r="Q917" s="246"/>
      <c r="R917" s="246"/>
      <c r="S917" s="246"/>
      <c r="T917" s="246"/>
      <c r="U917" s="246"/>
      <c r="V917" s="246"/>
    </row>
    <row r="918" spans="2:22" x14ac:dyDescent="0.25">
      <c r="B918" s="247">
        <v>56</v>
      </c>
      <c r="C918" s="247">
        <v>85</v>
      </c>
      <c r="D918" s="247">
        <v>56</v>
      </c>
      <c r="E918" s="247">
        <v>85</v>
      </c>
      <c r="F918" s="247">
        <f t="shared" si="99"/>
        <v>30</v>
      </c>
      <c r="G918" s="246">
        <v>3</v>
      </c>
      <c r="H918" s="247"/>
      <c r="I918" s="246"/>
      <c r="J918" s="246"/>
      <c r="K918" s="246"/>
      <c r="L918" s="246"/>
      <c r="M918" s="246"/>
      <c r="N918" s="246"/>
      <c r="O918" s="246"/>
      <c r="P918" s="246"/>
      <c r="Q918" s="246"/>
      <c r="R918" s="246"/>
      <c r="S918" s="246"/>
      <c r="T918" s="246"/>
      <c r="U918" s="246"/>
      <c r="V918" s="246"/>
    </row>
    <row r="919" spans="2:22" x14ac:dyDescent="0.25">
      <c r="B919" s="247">
        <v>86</v>
      </c>
      <c r="C919" s="247">
        <v>100</v>
      </c>
      <c r="D919" s="247">
        <v>86</v>
      </c>
      <c r="E919" s="247">
        <v>100</v>
      </c>
      <c r="F919" s="247">
        <f t="shared" si="99"/>
        <v>15</v>
      </c>
      <c r="G919" s="246">
        <v>3.5</v>
      </c>
      <c r="H919" s="247"/>
      <c r="I919" s="246"/>
      <c r="J919" s="246"/>
      <c r="K919" s="246"/>
      <c r="L919" s="246"/>
      <c r="M919" s="246"/>
      <c r="N919" s="246"/>
      <c r="O919" s="246"/>
      <c r="P919" s="246"/>
      <c r="Q919" s="246"/>
      <c r="R919" s="246"/>
      <c r="S919" s="246"/>
      <c r="T919" s="246"/>
      <c r="U919" s="246"/>
      <c r="V919" s="246"/>
    </row>
    <row r="920" spans="2:22" x14ac:dyDescent="0.25">
      <c r="B920" s="247">
        <v>101</v>
      </c>
      <c r="C920" s="247">
        <v>110</v>
      </c>
      <c r="D920" s="247">
        <v>101</v>
      </c>
      <c r="E920" s="247">
        <v>110</v>
      </c>
      <c r="F920" s="247">
        <f t="shared" si="99"/>
        <v>10</v>
      </c>
      <c r="G920" s="246">
        <v>3.5</v>
      </c>
      <c r="H920" s="247"/>
      <c r="I920" s="246"/>
      <c r="J920" s="246"/>
      <c r="K920" s="246"/>
      <c r="L920" s="246"/>
      <c r="M920" s="246"/>
      <c r="N920" s="246"/>
      <c r="O920" s="246"/>
      <c r="P920" s="246"/>
      <c r="Q920" s="246"/>
      <c r="R920" s="246"/>
      <c r="S920" s="246"/>
      <c r="T920" s="246"/>
      <c r="U920" s="246"/>
      <c r="V920" s="246"/>
    </row>
    <row r="921" spans="2:22" x14ac:dyDescent="0.25">
      <c r="B921" s="247">
        <v>111</v>
      </c>
      <c r="C921" s="247">
        <v>120</v>
      </c>
      <c r="D921" s="247">
        <v>111</v>
      </c>
      <c r="E921" s="247">
        <v>125</v>
      </c>
      <c r="F921" s="247">
        <f t="shared" si="99"/>
        <v>15</v>
      </c>
      <c r="G921" s="246">
        <v>4</v>
      </c>
      <c r="H921" s="247"/>
      <c r="I921" s="246"/>
      <c r="J921" s="246"/>
      <c r="K921" s="246"/>
      <c r="L921" s="246"/>
      <c r="M921" s="246"/>
      <c r="N921" s="246"/>
      <c r="O921" s="246"/>
      <c r="P921" s="246"/>
      <c r="Q921" s="246"/>
      <c r="R921" s="246"/>
      <c r="S921" s="246"/>
      <c r="T921" s="246"/>
      <c r="U921" s="246"/>
      <c r="V921" s="246"/>
    </row>
    <row r="922" spans="2:22" x14ac:dyDescent="0.25">
      <c r="B922" s="246"/>
      <c r="C922" s="246"/>
      <c r="D922" s="246"/>
      <c r="E922" s="246"/>
      <c r="F922" s="246"/>
      <c r="G922" s="246"/>
      <c r="H922" s="246"/>
      <c r="I922" s="246"/>
      <c r="J922" s="246"/>
      <c r="K922" s="246"/>
      <c r="L922" s="246"/>
      <c r="M922" s="246"/>
      <c r="N922" s="246"/>
      <c r="O922" s="246"/>
      <c r="P922" s="246"/>
      <c r="Q922" s="246"/>
      <c r="R922" s="246"/>
      <c r="S922" s="246"/>
      <c r="T922" s="246"/>
      <c r="U922" s="246"/>
      <c r="V922" s="246"/>
    </row>
    <row r="923" spans="2:22" x14ac:dyDescent="0.25">
      <c r="B923" s="386" t="s">
        <v>342</v>
      </c>
      <c r="C923" s="386"/>
      <c r="D923" s="386"/>
      <c r="E923" s="386"/>
      <c r="F923" s="386"/>
      <c r="G923" s="247"/>
      <c r="H923" s="247"/>
      <c r="I923" s="246"/>
      <c r="J923" s="246"/>
      <c r="K923" s="246"/>
      <c r="L923" s="246"/>
      <c r="M923" s="246"/>
      <c r="N923" s="246"/>
      <c r="O923" s="246"/>
      <c r="P923" s="246"/>
      <c r="Q923" s="246"/>
      <c r="R923" s="246"/>
      <c r="S923" s="246"/>
      <c r="T923" s="246"/>
      <c r="U923" s="246"/>
      <c r="V923" s="246"/>
    </row>
    <row r="924" spans="2:22" x14ac:dyDescent="0.25">
      <c r="B924" s="386" t="s">
        <v>254</v>
      </c>
      <c r="C924" s="386"/>
      <c r="D924" s="386" t="s">
        <v>254</v>
      </c>
      <c r="E924" s="386"/>
      <c r="F924" s="192" t="s">
        <v>313</v>
      </c>
      <c r="G924" s="247" t="s">
        <v>314</v>
      </c>
      <c r="H924" s="247" t="s">
        <v>316</v>
      </c>
      <c r="I924" s="246"/>
      <c r="J924" s="246"/>
      <c r="K924" s="246"/>
      <c r="L924" s="246"/>
      <c r="M924" s="246"/>
      <c r="N924" s="246"/>
      <c r="O924" s="246"/>
      <c r="P924" s="246"/>
      <c r="Q924" s="246"/>
      <c r="R924" s="246"/>
      <c r="S924" s="246"/>
      <c r="T924" s="246"/>
      <c r="U924" s="246"/>
      <c r="V924" s="246"/>
    </row>
    <row r="925" spans="2:22" x14ac:dyDescent="0.25">
      <c r="B925" s="247">
        <v>0</v>
      </c>
      <c r="C925" s="247">
        <v>10</v>
      </c>
      <c r="D925" s="247"/>
      <c r="E925" s="247"/>
      <c r="F925" s="247">
        <v>0</v>
      </c>
      <c r="G925" s="246">
        <v>1.5</v>
      </c>
      <c r="H925" s="247">
        <f>(F925*G925+F926*G926+F927*G927+F928*G928+F929*G929+F930*G930+F931*G931)/100</f>
        <v>3.165</v>
      </c>
      <c r="I925" s="246"/>
      <c r="J925" s="246"/>
      <c r="K925" s="246"/>
      <c r="L925" s="246"/>
      <c r="M925" s="246"/>
      <c r="N925" s="246"/>
      <c r="O925" s="246"/>
      <c r="P925" s="246"/>
      <c r="Q925" s="246"/>
      <c r="R925" s="246"/>
      <c r="S925" s="246"/>
      <c r="T925" s="246"/>
      <c r="U925" s="246"/>
      <c r="V925" s="246"/>
    </row>
    <row r="926" spans="2:22" x14ac:dyDescent="0.25">
      <c r="B926" s="247">
        <v>11</v>
      </c>
      <c r="C926" s="247">
        <v>25</v>
      </c>
      <c r="D926" s="247"/>
      <c r="E926" s="247"/>
      <c r="F926" s="247">
        <v>0</v>
      </c>
      <c r="G926" s="246">
        <v>2</v>
      </c>
      <c r="H926" s="247"/>
      <c r="I926" s="246"/>
      <c r="J926" s="246"/>
      <c r="K926" s="246"/>
      <c r="L926" s="246"/>
      <c r="M926" s="246"/>
      <c r="N926" s="246"/>
      <c r="O926" s="246"/>
      <c r="P926" s="246"/>
      <c r="Q926" s="246"/>
      <c r="R926" s="246"/>
      <c r="S926" s="246"/>
      <c r="T926" s="246"/>
      <c r="U926" s="246"/>
      <c r="V926" s="246"/>
    </row>
    <row r="927" spans="2:22" x14ac:dyDescent="0.25">
      <c r="B927" s="247">
        <v>26</v>
      </c>
      <c r="C927" s="247">
        <v>55</v>
      </c>
      <c r="D927" s="247">
        <v>26</v>
      </c>
      <c r="E927" s="247">
        <v>55</v>
      </c>
      <c r="F927" s="247">
        <f t="shared" ref="F927:F931" si="100">E927-D927+1</f>
        <v>30</v>
      </c>
      <c r="G927" s="246">
        <v>2.5</v>
      </c>
      <c r="H927" s="247"/>
      <c r="I927" s="246"/>
      <c r="J927" s="246"/>
      <c r="K927" s="246"/>
      <c r="L927" s="246"/>
      <c r="M927" s="246"/>
      <c r="N927" s="246"/>
      <c r="O927" s="246"/>
      <c r="P927" s="246"/>
      <c r="Q927" s="246"/>
      <c r="R927" s="246"/>
      <c r="S927" s="246"/>
      <c r="T927" s="246"/>
      <c r="U927" s="246"/>
      <c r="V927" s="246"/>
    </row>
    <row r="928" spans="2:22" x14ac:dyDescent="0.25">
      <c r="B928" s="247">
        <v>56</v>
      </c>
      <c r="C928" s="247">
        <v>85</v>
      </c>
      <c r="D928" s="247">
        <v>56</v>
      </c>
      <c r="E928" s="247">
        <v>85</v>
      </c>
      <c r="F928" s="247">
        <f t="shared" si="100"/>
        <v>30</v>
      </c>
      <c r="G928" s="246">
        <v>3</v>
      </c>
      <c r="H928" s="247"/>
      <c r="I928" s="246"/>
      <c r="J928" s="246"/>
      <c r="K928" s="246"/>
      <c r="L928" s="246"/>
      <c r="M928" s="246"/>
      <c r="N928" s="246"/>
      <c r="O928" s="246"/>
      <c r="P928" s="246"/>
      <c r="Q928" s="246"/>
      <c r="R928" s="246"/>
      <c r="S928" s="246"/>
      <c r="T928" s="246"/>
      <c r="U928" s="246"/>
      <c r="V928" s="246"/>
    </row>
    <row r="929" spans="2:22" x14ac:dyDescent="0.25">
      <c r="B929" s="247">
        <v>86</v>
      </c>
      <c r="C929" s="247">
        <v>100</v>
      </c>
      <c r="D929" s="247">
        <v>86</v>
      </c>
      <c r="E929" s="247">
        <v>100</v>
      </c>
      <c r="F929" s="247">
        <f t="shared" si="100"/>
        <v>15</v>
      </c>
      <c r="G929" s="246">
        <v>3.5</v>
      </c>
      <c r="H929" s="247"/>
      <c r="I929" s="246"/>
      <c r="J929" s="246"/>
      <c r="K929" s="246"/>
      <c r="L929" s="246"/>
      <c r="M929" s="246"/>
      <c r="N929" s="246"/>
      <c r="O929" s="246"/>
      <c r="P929" s="246"/>
      <c r="Q929" s="246"/>
      <c r="R929" s="246"/>
      <c r="S929" s="246"/>
      <c r="T929" s="246"/>
      <c r="U929" s="246"/>
      <c r="V929" s="246"/>
    </row>
    <row r="930" spans="2:22" x14ac:dyDescent="0.25">
      <c r="B930" s="247">
        <v>101</v>
      </c>
      <c r="C930" s="247">
        <v>110</v>
      </c>
      <c r="D930" s="247">
        <v>101</v>
      </c>
      <c r="E930" s="247">
        <v>110</v>
      </c>
      <c r="F930" s="247">
        <f t="shared" si="100"/>
        <v>10</v>
      </c>
      <c r="G930" s="246">
        <v>3.5</v>
      </c>
      <c r="H930" s="247"/>
      <c r="I930" s="246"/>
      <c r="J930" s="246"/>
      <c r="K930" s="246"/>
      <c r="L930" s="246"/>
      <c r="M930" s="246"/>
      <c r="N930" s="246"/>
      <c r="O930" s="246"/>
      <c r="P930" s="246"/>
      <c r="Q930" s="246"/>
      <c r="R930" s="246"/>
      <c r="S930" s="246"/>
      <c r="T930" s="246"/>
      <c r="U930" s="246"/>
      <c r="V930" s="246"/>
    </row>
    <row r="931" spans="2:22" x14ac:dyDescent="0.25">
      <c r="B931" s="247">
        <v>111</v>
      </c>
      <c r="C931" s="247">
        <v>120</v>
      </c>
      <c r="D931" s="247">
        <v>111</v>
      </c>
      <c r="E931" s="247">
        <v>126</v>
      </c>
      <c r="F931" s="247">
        <f t="shared" si="100"/>
        <v>16</v>
      </c>
      <c r="G931" s="246">
        <v>4</v>
      </c>
      <c r="H931" s="247"/>
      <c r="I931" s="246"/>
      <c r="J931" s="246"/>
      <c r="K931" s="246"/>
      <c r="L931" s="246"/>
      <c r="M931" s="246"/>
      <c r="N931" s="246"/>
      <c r="O931" s="246"/>
      <c r="P931" s="246"/>
      <c r="Q931" s="246"/>
      <c r="R931" s="246"/>
      <c r="S931" s="246"/>
      <c r="T931" s="246"/>
      <c r="U931" s="246"/>
      <c r="V931" s="246"/>
    </row>
    <row r="932" spans="2:22" x14ac:dyDescent="0.25">
      <c r="B932" s="246"/>
      <c r="C932" s="246"/>
      <c r="D932" s="246"/>
      <c r="E932" s="246"/>
      <c r="F932" s="246"/>
      <c r="G932" s="246"/>
      <c r="H932" s="246"/>
      <c r="I932" s="246"/>
      <c r="J932" s="246"/>
      <c r="K932" s="246"/>
      <c r="L932" s="246"/>
      <c r="M932" s="246"/>
      <c r="N932" s="246"/>
      <c r="O932" s="246"/>
      <c r="P932" s="246"/>
      <c r="Q932" s="246"/>
      <c r="R932" s="246"/>
      <c r="S932" s="246"/>
      <c r="T932" s="246"/>
      <c r="U932" s="246"/>
      <c r="V932" s="246"/>
    </row>
    <row r="933" spans="2:22" x14ac:dyDescent="0.25">
      <c r="B933" s="386" t="s">
        <v>343</v>
      </c>
      <c r="C933" s="386"/>
      <c r="D933" s="386"/>
      <c r="E933" s="386"/>
      <c r="F933" s="386"/>
      <c r="G933" s="247"/>
      <c r="H933" s="247"/>
      <c r="I933" s="246"/>
      <c r="J933" s="246"/>
      <c r="K933" s="246"/>
      <c r="L933" s="246"/>
      <c r="M933" s="246"/>
      <c r="N933" s="246"/>
      <c r="O933" s="246"/>
      <c r="P933" s="246"/>
      <c r="Q933" s="246"/>
      <c r="R933" s="246"/>
      <c r="S933" s="246"/>
      <c r="T933" s="246"/>
      <c r="U933" s="246"/>
      <c r="V933" s="246"/>
    </row>
    <row r="934" spans="2:22" x14ac:dyDescent="0.25">
      <c r="B934" s="386" t="s">
        <v>254</v>
      </c>
      <c r="C934" s="386"/>
      <c r="D934" s="386" t="s">
        <v>254</v>
      </c>
      <c r="E934" s="386"/>
      <c r="F934" s="192" t="s">
        <v>313</v>
      </c>
      <c r="G934" s="247" t="s">
        <v>314</v>
      </c>
      <c r="H934" s="247" t="s">
        <v>316</v>
      </c>
      <c r="I934" s="246"/>
      <c r="J934" s="246"/>
      <c r="K934" s="246"/>
      <c r="L934" s="246"/>
      <c r="M934" s="246"/>
      <c r="N934" s="246"/>
      <c r="O934" s="246"/>
      <c r="P934" s="246"/>
      <c r="Q934" s="246"/>
      <c r="R934" s="246"/>
      <c r="S934" s="246"/>
      <c r="T934" s="246"/>
      <c r="U934" s="246"/>
      <c r="V934" s="246"/>
    </row>
    <row r="935" spans="2:22" x14ac:dyDescent="0.25">
      <c r="B935" s="247">
        <v>0</v>
      </c>
      <c r="C935" s="247">
        <v>10</v>
      </c>
      <c r="D935" s="247"/>
      <c r="E935" s="247"/>
      <c r="F935" s="247">
        <v>0</v>
      </c>
      <c r="G935" s="246">
        <v>1.5</v>
      </c>
      <c r="H935" s="247">
        <f>(F935*G935+F936*G936+F937*G937+F938*G938+F939*G939+F940*G940+F941*G941)/100</f>
        <v>3.18</v>
      </c>
      <c r="I935" s="246"/>
      <c r="J935" s="246"/>
      <c r="K935" s="246"/>
      <c r="L935" s="246"/>
      <c r="M935" s="246"/>
      <c r="N935" s="246"/>
      <c r="O935" s="246"/>
      <c r="P935" s="246"/>
      <c r="Q935" s="246"/>
      <c r="R935" s="246"/>
      <c r="S935" s="246"/>
      <c r="T935" s="246"/>
      <c r="U935" s="246"/>
      <c r="V935" s="246"/>
    </row>
    <row r="936" spans="2:22" x14ac:dyDescent="0.25">
      <c r="B936" s="247">
        <v>11</v>
      </c>
      <c r="C936" s="247">
        <v>25</v>
      </c>
      <c r="D936" s="247"/>
      <c r="E936" s="247"/>
      <c r="F936" s="247">
        <v>0</v>
      </c>
      <c r="G936" s="246">
        <v>2</v>
      </c>
      <c r="H936" s="247"/>
      <c r="I936" s="246"/>
      <c r="J936" s="246"/>
      <c r="K936" s="246"/>
      <c r="L936" s="246"/>
      <c r="M936" s="246"/>
      <c r="N936" s="246"/>
      <c r="O936" s="246"/>
      <c r="P936" s="246"/>
      <c r="Q936" s="246"/>
      <c r="R936" s="246"/>
      <c r="S936" s="246"/>
      <c r="T936" s="246"/>
      <c r="U936" s="246"/>
      <c r="V936" s="246"/>
    </row>
    <row r="937" spans="2:22" x14ac:dyDescent="0.25">
      <c r="B937" s="247">
        <v>26</v>
      </c>
      <c r="C937" s="247">
        <v>55</v>
      </c>
      <c r="D937" s="247">
        <v>27</v>
      </c>
      <c r="E937" s="247">
        <v>55</v>
      </c>
      <c r="F937" s="247">
        <f t="shared" ref="F937:F941" si="101">E937-D937+1</f>
        <v>29</v>
      </c>
      <c r="G937" s="246">
        <v>2.5</v>
      </c>
      <c r="H937" s="247"/>
      <c r="I937" s="246"/>
      <c r="J937" s="246"/>
      <c r="K937" s="246"/>
      <c r="L937" s="246"/>
      <c r="M937" s="246"/>
      <c r="N937" s="246"/>
      <c r="O937" s="246"/>
      <c r="P937" s="246"/>
      <c r="Q937" s="246"/>
      <c r="R937" s="246"/>
      <c r="S937" s="246"/>
      <c r="T937" s="246"/>
      <c r="U937" s="246"/>
      <c r="V937" s="246"/>
    </row>
    <row r="938" spans="2:22" x14ac:dyDescent="0.25">
      <c r="B938" s="247">
        <v>56</v>
      </c>
      <c r="C938" s="247">
        <v>85</v>
      </c>
      <c r="D938" s="247">
        <v>56</v>
      </c>
      <c r="E938" s="247">
        <v>85</v>
      </c>
      <c r="F938" s="247">
        <f t="shared" si="101"/>
        <v>30</v>
      </c>
      <c r="G938" s="246">
        <v>3</v>
      </c>
      <c r="H938" s="247"/>
      <c r="I938" s="246"/>
      <c r="J938" s="246"/>
      <c r="K938" s="246"/>
      <c r="L938" s="246"/>
      <c r="M938" s="246"/>
      <c r="N938" s="246"/>
      <c r="O938" s="246"/>
      <c r="P938" s="246"/>
      <c r="Q938" s="246"/>
      <c r="R938" s="246"/>
      <c r="S938" s="246"/>
      <c r="T938" s="246"/>
      <c r="U938" s="246"/>
      <c r="V938" s="246"/>
    </row>
    <row r="939" spans="2:22" x14ac:dyDescent="0.25">
      <c r="B939" s="247">
        <v>86</v>
      </c>
      <c r="C939" s="247">
        <v>100</v>
      </c>
      <c r="D939" s="247">
        <v>86</v>
      </c>
      <c r="E939" s="247">
        <v>100</v>
      </c>
      <c r="F939" s="247">
        <f t="shared" si="101"/>
        <v>15</v>
      </c>
      <c r="G939" s="246">
        <v>3.5</v>
      </c>
      <c r="H939" s="247"/>
      <c r="I939" s="246"/>
      <c r="J939" s="246"/>
      <c r="K939" s="246"/>
      <c r="L939" s="246"/>
      <c r="M939" s="246"/>
      <c r="N939" s="246"/>
      <c r="O939" s="246"/>
      <c r="P939" s="246"/>
      <c r="Q939" s="246"/>
      <c r="R939" s="246"/>
      <c r="S939" s="246"/>
      <c r="T939" s="246"/>
      <c r="U939" s="246"/>
      <c r="V939" s="246"/>
    </row>
    <row r="940" spans="2:22" x14ac:dyDescent="0.25">
      <c r="B940" s="247">
        <v>101</v>
      </c>
      <c r="C940" s="247">
        <v>110</v>
      </c>
      <c r="D940" s="247">
        <v>101</v>
      </c>
      <c r="E940" s="247">
        <v>110</v>
      </c>
      <c r="F940" s="247">
        <f t="shared" si="101"/>
        <v>10</v>
      </c>
      <c r="G940" s="246">
        <v>3.5</v>
      </c>
      <c r="H940" s="247"/>
      <c r="I940" s="246"/>
      <c r="J940" s="246"/>
      <c r="K940" s="246"/>
      <c r="L940" s="246"/>
      <c r="M940" s="246"/>
      <c r="N940" s="246"/>
      <c r="O940" s="246"/>
      <c r="P940" s="246"/>
      <c r="Q940" s="246"/>
      <c r="R940" s="246"/>
      <c r="S940" s="246"/>
      <c r="T940" s="246"/>
      <c r="U940" s="246"/>
      <c r="V940" s="246"/>
    </row>
    <row r="941" spans="2:22" x14ac:dyDescent="0.25">
      <c r="B941" s="247">
        <v>111</v>
      </c>
      <c r="C941" s="247">
        <v>120</v>
      </c>
      <c r="D941" s="247">
        <v>111</v>
      </c>
      <c r="E941" s="247">
        <v>127</v>
      </c>
      <c r="F941" s="247">
        <f t="shared" si="101"/>
        <v>17</v>
      </c>
      <c r="G941" s="246">
        <v>4</v>
      </c>
      <c r="H941" s="247"/>
      <c r="I941" s="246"/>
      <c r="J941" s="246"/>
      <c r="K941" s="246"/>
      <c r="L941" s="246"/>
      <c r="M941" s="246"/>
      <c r="N941" s="246"/>
      <c r="O941" s="246"/>
      <c r="P941" s="246"/>
      <c r="Q941" s="246"/>
      <c r="R941" s="246"/>
      <c r="S941" s="246"/>
      <c r="T941" s="246"/>
      <c r="U941" s="246"/>
      <c r="V941" s="246"/>
    </row>
    <row r="942" spans="2:22" x14ac:dyDescent="0.25">
      <c r="B942" s="246"/>
      <c r="C942" s="246"/>
      <c r="D942" s="246"/>
      <c r="E942" s="246"/>
      <c r="F942" s="246"/>
      <c r="G942" s="246"/>
      <c r="H942" s="246"/>
      <c r="I942" s="246"/>
      <c r="J942" s="246"/>
      <c r="K942" s="246"/>
      <c r="L942" s="246"/>
      <c r="M942" s="246"/>
      <c r="N942" s="246"/>
      <c r="O942" s="246"/>
      <c r="P942" s="246"/>
      <c r="Q942" s="246"/>
      <c r="R942" s="246"/>
      <c r="S942" s="246"/>
      <c r="T942" s="246"/>
      <c r="U942" s="246"/>
      <c r="V942" s="246"/>
    </row>
    <row r="943" spans="2:22" x14ac:dyDescent="0.25">
      <c r="B943" s="386" t="s">
        <v>344</v>
      </c>
      <c r="C943" s="386"/>
      <c r="D943" s="386"/>
      <c r="E943" s="386"/>
      <c r="F943" s="386"/>
      <c r="G943" s="247"/>
      <c r="H943" s="247"/>
      <c r="I943" s="246"/>
      <c r="J943" s="246"/>
      <c r="K943" s="246"/>
      <c r="L943" s="246"/>
      <c r="M943" s="246"/>
      <c r="N943" s="246"/>
      <c r="O943" s="246"/>
      <c r="P943" s="246"/>
      <c r="Q943" s="246"/>
      <c r="R943" s="246"/>
      <c r="S943" s="246"/>
      <c r="T943" s="246"/>
      <c r="U943" s="246"/>
      <c r="V943" s="246"/>
    </row>
    <row r="944" spans="2:22" x14ac:dyDescent="0.25">
      <c r="B944" s="386" t="s">
        <v>254</v>
      </c>
      <c r="C944" s="386"/>
      <c r="D944" s="386" t="s">
        <v>254</v>
      </c>
      <c r="E944" s="386"/>
      <c r="F944" s="192" t="s">
        <v>313</v>
      </c>
      <c r="G944" s="247" t="s">
        <v>314</v>
      </c>
      <c r="H944" s="247" t="s">
        <v>316</v>
      </c>
      <c r="I944" s="246"/>
      <c r="J944" s="246"/>
      <c r="K944" s="246"/>
      <c r="L944" s="246"/>
      <c r="M944" s="246"/>
      <c r="N944" s="246"/>
      <c r="O944" s="246"/>
      <c r="P944" s="246"/>
      <c r="Q944" s="246"/>
      <c r="R944" s="246"/>
      <c r="S944" s="246"/>
      <c r="T944" s="246"/>
      <c r="U944" s="246"/>
      <c r="V944" s="246"/>
    </row>
    <row r="945" spans="2:22" x14ac:dyDescent="0.25">
      <c r="B945" s="247">
        <v>0</v>
      </c>
      <c r="C945" s="247">
        <v>10</v>
      </c>
      <c r="D945" s="247"/>
      <c r="E945" s="247"/>
      <c r="F945" s="247">
        <v>0</v>
      </c>
      <c r="G945" s="246">
        <v>1.5</v>
      </c>
      <c r="H945" s="247">
        <f>(F945*G945+F946*G946+F947*G947+F948*G948+F949*G949+F950*G950+F951*G951)/100</f>
        <v>3.1949999999999998</v>
      </c>
      <c r="I945" s="246"/>
      <c r="J945" s="246"/>
      <c r="K945" s="246"/>
      <c r="L945" s="246"/>
      <c r="M945" s="246"/>
      <c r="N945" s="246"/>
      <c r="O945" s="246"/>
      <c r="P945" s="246"/>
      <c r="Q945" s="246"/>
      <c r="R945" s="246"/>
      <c r="S945" s="246"/>
      <c r="T945" s="246"/>
      <c r="U945" s="246"/>
      <c r="V945" s="246"/>
    </row>
    <row r="946" spans="2:22" x14ac:dyDescent="0.25">
      <c r="B946" s="247">
        <v>11</v>
      </c>
      <c r="C946" s="247">
        <v>25</v>
      </c>
      <c r="D946" s="247"/>
      <c r="E946" s="247"/>
      <c r="F946" s="247">
        <v>0</v>
      </c>
      <c r="G946" s="246">
        <v>2</v>
      </c>
      <c r="H946" s="247"/>
      <c r="I946" s="246"/>
      <c r="J946" s="246"/>
      <c r="K946" s="246"/>
      <c r="L946" s="246"/>
      <c r="M946" s="246"/>
      <c r="N946" s="246"/>
      <c r="O946" s="246"/>
      <c r="P946" s="246"/>
      <c r="Q946" s="246"/>
      <c r="R946" s="246"/>
      <c r="S946" s="246"/>
      <c r="T946" s="246"/>
      <c r="U946" s="246"/>
      <c r="V946" s="246"/>
    </row>
    <row r="947" spans="2:22" x14ac:dyDescent="0.25">
      <c r="B947" s="247">
        <v>26</v>
      </c>
      <c r="C947" s="247">
        <v>55</v>
      </c>
      <c r="D947" s="247">
        <v>28</v>
      </c>
      <c r="E947" s="247">
        <v>55</v>
      </c>
      <c r="F947" s="247">
        <f t="shared" ref="F947:F951" si="102">E947-D947+1</f>
        <v>28</v>
      </c>
      <c r="G947" s="246">
        <v>2.5</v>
      </c>
      <c r="H947" s="247"/>
      <c r="I947" s="246"/>
      <c r="J947" s="246"/>
      <c r="K947" s="246"/>
      <c r="L947" s="246"/>
      <c r="M947" s="246"/>
      <c r="N947" s="246"/>
      <c r="O947" s="246"/>
      <c r="P947" s="246"/>
      <c r="Q947" s="246"/>
      <c r="R947" s="246"/>
      <c r="S947" s="246"/>
      <c r="T947" s="246"/>
      <c r="U947" s="246"/>
      <c r="V947" s="246"/>
    </row>
    <row r="948" spans="2:22" x14ac:dyDescent="0.25">
      <c r="B948" s="247">
        <v>56</v>
      </c>
      <c r="C948" s="247">
        <v>85</v>
      </c>
      <c r="D948" s="247">
        <v>56</v>
      </c>
      <c r="E948" s="247">
        <v>85</v>
      </c>
      <c r="F948" s="247">
        <f t="shared" si="102"/>
        <v>30</v>
      </c>
      <c r="G948" s="246">
        <v>3</v>
      </c>
      <c r="H948" s="247"/>
      <c r="I948" s="246"/>
      <c r="J948" s="246"/>
      <c r="K948" s="246"/>
      <c r="L948" s="246"/>
      <c r="M948" s="246"/>
      <c r="N948" s="246"/>
      <c r="O948" s="246"/>
      <c r="P948" s="246"/>
      <c r="Q948" s="246"/>
      <c r="R948" s="246"/>
      <c r="S948" s="246"/>
      <c r="T948" s="246"/>
      <c r="U948" s="246"/>
      <c r="V948" s="246"/>
    </row>
    <row r="949" spans="2:22" x14ac:dyDescent="0.25">
      <c r="B949" s="247">
        <v>86</v>
      </c>
      <c r="C949" s="247">
        <v>100</v>
      </c>
      <c r="D949" s="247">
        <v>86</v>
      </c>
      <c r="E949" s="247">
        <v>100</v>
      </c>
      <c r="F949" s="247">
        <f t="shared" si="102"/>
        <v>15</v>
      </c>
      <c r="G949" s="246">
        <v>3.5</v>
      </c>
      <c r="H949" s="247"/>
      <c r="I949" s="246"/>
      <c r="J949" s="246"/>
      <c r="K949" s="246"/>
      <c r="L949" s="246"/>
      <c r="M949" s="246"/>
      <c r="N949" s="246"/>
      <c r="O949" s="246"/>
      <c r="P949" s="246"/>
      <c r="Q949" s="246"/>
      <c r="R949" s="246"/>
      <c r="S949" s="246"/>
      <c r="T949" s="246"/>
      <c r="U949" s="246"/>
      <c r="V949" s="246"/>
    </row>
    <row r="950" spans="2:22" x14ac:dyDescent="0.25">
      <c r="B950" s="247">
        <v>101</v>
      </c>
      <c r="C950" s="247">
        <v>110</v>
      </c>
      <c r="D950" s="247">
        <v>101</v>
      </c>
      <c r="E950" s="247">
        <v>110</v>
      </c>
      <c r="F950" s="247">
        <f t="shared" si="102"/>
        <v>10</v>
      </c>
      <c r="G950" s="246">
        <v>3.5</v>
      </c>
      <c r="H950" s="247"/>
      <c r="I950" s="246"/>
      <c r="J950" s="246"/>
      <c r="K950" s="246"/>
      <c r="L950" s="246"/>
      <c r="M950" s="246"/>
      <c r="N950" s="246"/>
      <c r="O950" s="246"/>
      <c r="P950" s="246"/>
      <c r="Q950" s="246"/>
      <c r="R950" s="246"/>
      <c r="S950" s="246"/>
      <c r="T950" s="246"/>
      <c r="U950" s="246"/>
      <c r="V950" s="246"/>
    </row>
    <row r="951" spans="2:22" x14ac:dyDescent="0.25">
      <c r="B951" s="247">
        <v>111</v>
      </c>
      <c r="C951" s="247">
        <v>120</v>
      </c>
      <c r="D951" s="247">
        <v>111</v>
      </c>
      <c r="E951" s="247">
        <v>128</v>
      </c>
      <c r="F951" s="247">
        <f t="shared" si="102"/>
        <v>18</v>
      </c>
      <c r="G951" s="246">
        <v>4</v>
      </c>
      <c r="H951" s="247"/>
      <c r="I951" s="246"/>
      <c r="J951" s="246"/>
      <c r="K951" s="246"/>
      <c r="L951" s="246"/>
      <c r="M951" s="246"/>
      <c r="N951" s="246"/>
      <c r="O951" s="246"/>
      <c r="P951" s="246"/>
      <c r="Q951" s="246"/>
      <c r="R951" s="246"/>
      <c r="S951" s="246"/>
      <c r="T951" s="246"/>
      <c r="U951" s="246"/>
      <c r="V951" s="246"/>
    </row>
    <row r="952" spans="2:22" x14ac:dyDescent="0.25">
      <c r="B952" s="246"/>
      <c r="C952" s="246"/>
      <c r="D952" s="246"/>
      <c r="E952" s="246"/>
      <c r="F952" s="246"/>
      <c r="G952" s="246"/>
      <c r="H952" s="246"/>
      <c r="I952" s="246"/>
      <c r="J952" s="246"/>
      <c r="K952" s="246"/>
      <c r="L952" s="246"/>
      <c r="M952" s="246"/>
      <c r="N952" s="246"/>
      <c r="O952" s="246"/>
      <c r="P952" s="246"/>
      <c r="Q952" s="246"/>
      <c r="R952" s="246"/>
      <c r="S952" s="246"/>
      <c r="T952" s="246"/>
      <c r="U952" s="246"/>
      <c r="V952" s="246"/>
    </row>
    <row r="953" spans="2:22" x14ac:dyDescent="0.25">
      <c r="B953" s="386" t="s">
        <v>345</v>
      </c>
      <c r="C953" s="386"/>
      <c r="D953" s="386"/>
      <c r="E953" s="386"/>
      <c r="F953" s="386"/>
      <c r="G953" s="247"/>
      <c r="H953" s="247"/>
      <c r="I953" s="246"/>
      <c r="J953" s="246"/>
      <c r="K953" s="246"/>
      <c r="L953" s="246"/>
      <c r="M953" s="246"/>
      <c r="N953" s="246"/>
      <c r="O953" s="246"/>
      <c r="P953" s="246"/>
      <c r="Q953" s="246"/>
      <c r="R953" s="246"/>
      <c r="S953" s="246"/>
      <c r="T953" s="246"/>
      <c r="U953" s="246"/>
      <c r="V953" s="246"/>
    </row>
    <row r="954" spans="2:22" x14ac:dyDescent="0.25">
      <c r="B954" s="386" t="s">
        <v>254</v>
      </c>
      <c r="C954" s="386"/>
      <c r="D954" s="386" t="s">
        <v>254</v>
      </c>
      <c r="E954" s="386"/>
      <c r="F954" s="192" t="s">
        <v>313</v>
      </c>
      <c r="G954" s="247" t="s">
        <v>314</v>
      </c>
      <c r="H954" s="247" t="s">
        <v>316</v>
      </c>
      <c r="I954" s="246"/>
      <c r="J954" s="246"/>
      <c r="K954" s="246"/>
      <c r="L954" s="246"/>
      <c r="M954" s="246"/>
      <c r="N954" s="246"/>
      <c r="O954" s="246"/>
      <c r="P954" s="246"/>
      <c r="Q954" s="246"/>
      <c r="R954" s="246"/>
      <c r="S954" s="246"/>
      <c r="T954" s="246"/>
      <c r="U954" s="246"/>
      <c r="V954" s="246"/>
    </row>
    <row r="955" spans="2:22" x14ac:dyDescent="0.25">
      <c r="B955" s="247">
        <v>0</v>
      </c>
      <c r="C955" s="247">
        <v>10</v>
      </c>
      <c r="D955" s="247"/>
      <c r="E955" s="247"/>
      <c r="F955" s="247">
        <v>0</v>
      </c>
      <c r="G955" s="246">
        <v>1.5</v>
      </c>
      <c r="H955" s="247">
        <f>(F955*G955+F956*G956+F957*G957+F958*G958+F959*G959+F960*G960+F961*G961)/100</f>
        <v>3.21</v>
      </c>
      <c r="I955" s="246"/>
      <c r="J955" s="246"/>
      <c r="K955" s="246"/>
      <c r="L955" s="246"/>
      <c r="M955" s="246"/>
      <c r="N955" s="246"/>
      <c r="O955" s="246"/>
      <c r="P955" s="246"/>
      <c r="Q955" s="246"/>
      <c r="R955" s="246"/>
      <c r="S955" s="246"/>
      <c r="T955" s="246"/>
      <c r="U955" s="246"/>
      <c r="V955" s="246"/>
    </row>
    <row r="956" spans="2:22" x14ac:dyDescent="0.25">
      <c r="B956" s="247">
        <v>11</v>
      </c>
      <c r="C956" s="247">
        <v>25</v>
      </c>
      <c r="D956" s="247"/>
      <c r="E956" s="247"/>
      <c r="F956" s="247">
        <v>0</v>
      </c>
      <c r="G956" s="246">
        <v>2</v>
      </c>
      <c r="H956" s="247"/>
      <c r="I956" s="246"/>
      <c r="J956" s="246"/>
      <c r="K956" s="246"/>
      <c r="L956" s="246"/>
      <c r="M956" s="246"/>
      <c r="N956" s="246"/>
      <c r="O956" s="246"/>
      <c r="P956" s="246"/>
      <c r="Q956" s="246"/>
      <c r="R956" s="246"/>
      <c r="S956" s="246"/>
      <c r="T956" s="246"/>
      <c r="U956" s="246"/>
      <c r="V956" s="246"/>
    </row>
    <row r="957" spans="2:22" x14ac:dyDescent="0.25">
      <c r="B957" s="247">
        <v>26</v>
      </c>
      <c r="C957" s="247">
        <v>55</v>
      </c>
      <c r="D957" s="247">
        <v>29</v>
      </c>
      <c r="E957" s="247">
        <v>55</v>
      </c>
      <c r="F957" s="247">
        <f t="shared" ref="F957:F961" si="103">E957-D957+1</f>
        <v>27</v>
      </c>
      <c r="G957" s="246">
        <v>2.5</v>
      </c>
      <c r="H957" s="247"/>
      <c r="I957" s="246"/>
      <c r="J957" s="246"/>
      <c r="K957" s="246"/>
      <c r="L957" s="246"/>
      <c r="M957" s="246"/>
      <c r="N957" s="246"/>
      <c r="O957" s="246"/>
      <c r="P957" s="246"/>
      <c r="Q957" s="246"/>
      <c r="R957" s="246"/>
      <c r="S957" s="246"/>
      <c r="T957" s="246"/>
      <c r="U957" s="246"/>
      <c r="V957" s="246"/>
    </row>
    <row r="958" spans="2:22" x14ac:dyDescent="0.25">
      <c r="B958" s="247">
        <v>56</v>
      </c>
      <c r="C958" s="247">
        <v>85</v>
      </c>
      <c r="D958" s="247">
        <v>56</v>
      </c>
      <c r="E958" s="247">
        <v>85</v>
      </c>
      <c r="F958" s="247">
        <f t="shared" si="103"/>
        <v>30</v>
      </c>
      <c r="G958" s="246">
        <v>3</v>
      </c>
      <c r="H958" s="247"/>
      <c r="I958" s="246"/>
      <c r="J958" s="246"/>
      <c r="K958" s="246"/>
      <c r="L958" s="246"/>
      <c r="M958" s="246"/>
      <c r="N958" s="246"/>
      <c r="O958" s="246"/>
      <c r="P958" s="246"/>
      <c r="Q958" s="246"/>
      <c r="R958" s="246"/>
      <c r="S958" s="246"/>
      <c r="T958" s="246"/>
      <c r="U958" s="246"/>
      <c r="V958" s="246"/>
    </row>
    <row r="959" spans="2:22" x14ac:dyDescent="0.25">
      <c r="B959" s="247">
        <v>86</v>
      </c>
      <c r="C959" s="247">
        <v>100</v>
      </c>
      <c r="D959" s="247">
        <v>86</v>
      </c>
      <c r="E959" s="247">
        <v>100</v>
      </c>
      <c r="F959" s="247">
        <f t="shared" si="103"/>
        <v>15</v>
      </c>
      <c r="G959" s="246">
        <v>3.5</v>
      </c>
      <c r="H959" s="247"/>
      <c r="I959" s="246"/>
      <c r="J959" s="246"/>
      <c r="K959" s="246"/>
      <c r="L959" s="246"/>
      <c r="M959" s="246"/>
      <c r="N959" s="246"/>
      <c r="O959" s="246"/>
      <c r="P959" s="246"/>
      <c r="Q959" s="246"/>
      <c r="R959" s="246"/>
      <c r="S959" s="246"/>
      <c r="T959" s="246"/>
      <c r="U959" s="246"/>
      <c r="V959" s="246"/>
    </row>
    <row r="960" spans="2:22" x14ac:dyDescent="0.25">
      <c r="B960" s="247">
        <v>101</v>
      </c>
      <c r="C960" s="247">
        <v>110</v>
      </c>
      <c r="D960" s="247">
        <v>101</v>
      </c>
      <c r="E960" s="247">
        <v>110</v>
      </c>
      <c r="F960" s="247">
        <f t="shared" si="103"/>
        <v>10</v>
      </c>
      <c r="G960" s="246">
        <v>3.5</v>
      </c>
      <c r="H960" s="247"/>
      <c r="I960" s="246"/>
      <c r="J960" s="246"/>
      <c r="K960" s="246"/>
      <c r="L960" s="246"/>
      <c r="M960" s="246"/>
      <c r="N960" s="246"/>
      <c r="O960" s="246"/>
      <c r="P960" s="246"/>
      <c r="Q960" s="246"/>
      <c r="R960" s="246"/>
      <c r="S960" s="246"/>
      <c r="T960" s="246"/>
      <c r="U960" s="246"/>
      <c r="V960" s="246"/>
    </row>
    <row r="961" spans="2:22" x14ac:dyDescent="0.25">
      <c r="B961" s="247">
        <v>111</v>
      </c>
      <c r="C961" s="247">
        <v>120</v>
      </c>
      <c r="D961" s="247">
        <v>111</v>
      </c>
      <c r="E961" s="247">
        <v>129</v>
      </c>
      <c r="F961" s="247">
        <f t="shared" si="103"/>
        <v>19</v>
      </c>
      <c r="G961" s="246">
        <v>4</v>
      </c>
      <c r="H961" s="247"/>
      <c r="I961" s="246"/>
      <c r="J961" s="246"/>
      <c r="K961" s="246"/>
      <c r="L961" s="246"/>
      <c r="M961" s="246"/>
      <c r="N961" s="246"/>
      <c r="O961" s="246"/>
      <c r="P961" s="246"/>
      <c r="Q961" s="246"/>
      <c r="R961" s="246"/>
      <c r="S961" s="246"/>
      <c r="T961" s="246"/>
      <c r="U961" s="246"/>
      <c r="V961" s="246"/>
    </row>
    <row r="962" spans="2:22" x14ac:dyDescent="0.25">
      <c r="B962" s="246"/>
      <c r="C962" s="246"/>
      <c r="D962" s="246"/>
      <c r="E962" s="246"/>
      <c r="F962" s="246"/>
      <c r="G962" s="246"/>
      <c r="H962" s="246"/>
      <c r="I962" s="246"/>
      <c r="J962" s="246"/>
      <c r="K962" s="246"/>
      <c r="L962" s="246"/>
      <c r="M962" s="246"/>
      <c r="N962" s="246"/>
      <c r="O962" s="246"/>
      <c r="P962" s="246"/>
      <c r="Q962" s="246"/>
      <c r="R962" s="246"/>
      <c r="S962" s="246"/>
      <c r="T962" s="246"/>
      <c r="U962" s="246"/>
      <c r="V962" s="246"/>
    </row>
    <row r="963" spans="2:22" x14ac:dyDescent="0.25">
      <c r="B963" s="386" t="s">
        <v>346</v>
      </c>
      <c r="C963" s="386"/>
      <c r="D963" s="386"/>
      <c r="E963" s="386"/>
      <c r="F963" s="386"/>
      <c r="G963" s="247"/>
      <c r="H963" s="247"/>
      <c r="I963" s="246"/>
      <c r="J963" s="246"/>
      <c r="K963" s="246"/>
      <c r="L963" s="246"/>
      <c r="M963" s="246"/>
      <c r="N963" s="246"/>
      <c r="O963" s="246"/>
      <c r="P963" s="246"/>
      <c r="Q963" s="246"/>
      <c r="R963" s="246"/>
      <c r="S963" s="246"/>
      <c r="T963" s="246"/>
      <c r="U963" s="246"/>
      <c r="V963" s="246"/>
    </row>
    <row r="964" spans="2:22" x14ac:dyDescent="0.25">
      <c r="B964" s="386" t="s">
        <v>254</v>
      </c>
      <c r="C964" s="386"/>
      <c r="D964" s="386" t="s">
        <v>254</v>
      </c>
      <c r="E964" s="386"/>
      <c r="F964" s="192" t="s">
        <v>313</v>
      </c>
      <c r="G964" s="247" t="s">
        <v>314</v>
      </c>
      <c r="H964" s="247" t="s">
        <v>316</v>
      </c>
      <c r="I964" s="246"/>
      <c r="J964" s="246"/>
      <c r="K964" s="246"/>
      <c r="L964" s="246"/>
      <c r="M964" s="246"/>
      <c r="N964" s="246"/>
      <c r="O964" s="246"/>
      <c r="P964" s="246"/>
      <c r="Q964" s="246"/>
      <c r="R964" s="246"/>
      <c r="S964" s="246"/>
      <c r="T964" s="246"/>
      <c r="U964" s="246"/>
      <c r="V964" s="246"/>
    </row>
    <row r="965" spans="2:22" x14ac:dyDescent="0.25">
      <c r="B965" s="247">
        <v>0</v>
      </c>
      <c r="C965" s="247">
        <v>10</v>
      </c>
      <c r="D965" s="247"/>
      <c r="E965" s="247"/>
      <c r="F965" s="247">
        <v>0</v>
      </c>
      <c r="G965" s="246">
        <v>1.5</v>
      </c>
      <c r="H965" s="247">
        <f>(F965*G965+F966*G966+F967*G967+F968*G968+F969*G969+F970*G970+F971*G971)/100</f>
        <v>3.2250000000000001</v>
      </c>
      <c r="I965" s="246"/>
      <c r="J965" s="246"/>
      <c r="K965" s="246"/>
      <c r="L965" s="246"/>
      <c r="M965" s="246"/>
      <c r="N965" s="246"/>
      <c r="O965" s="246"/>
      <c r="P965" s="246"/>
      <c r="Q965" s="246"/>
      <c r="R965" s="246"/>
      <c r="S965" s="246"/>
      <c r="T965" s="246"/>
      <c r="U965" s="246"/>
      <c r="V965" s="246"/>
    </row>
    <row r="966" spans="2:22" x14ac:dyDescent="0.25">
      <c r="B966" s="247">
        <v>11</v>
      </c>
      <c r="C966" s="247">
        <v>25</v>
      </c>
      <c r="D966" s="247"/>
      <c r="E966" s="247"/>
      <c r="F966" s="247">
        <v>0</v>
      </c>
      <c r="G966" s="246">
        <v>2</v>
      </c>
      <c r="H966" s="247"/>
      <c r="I966" s="246"/>
      <c r="J966" s="246"/>
      <c r="K966" s="246"/>
      <c r="L966" s="246"/>
      <c r="M966" s="246"/>
      <c r="N966" s="246"/>
      <c r="O966" s="246"/>
      <c r="P966" s="246"/>
      <c r="Q966" s="246"/>
      <c r="R966" s="246"/>
      <c r="S966" s="246"/>
      <c r="T966" s="246"/>
      <c r="U966" s="246"/>
      <c r="V966" s="246"/>
    </row>
    <row r="967" spans="2:22" x14ac:dyDescent="0.25">
      <c r="B967" s="247">
        <v>26</v>
      </c>
      <c r="C967" s="247">
        <v>55</v>
      </c>
      <c r="D967" s="247">
        <v>30</v>
      </c>
      <c r="E967" s="247">
        <v>55</v>
      </c>
      <c r="F967" s="247">
        <f t="shared" ref="F967:F971" si="104">E967-D967+1</f>
        <v>26</v>
      </c>
      <c r="G967" s="246">
        <v>2.5</v>
      </c>
      <c r="H967" s="247"/>
      <c r="I967" s="246"/>
      <c r="J967" s="246"/>
      <c r="K967" s="246"/>
      <c r="L967" s="246"/>
      <c r="M967" s="246"/>
      <c r="N967" s="246"/>
      <c r="O967" s="246"/>
      <c r="P967" s="246"/>
      <c r="Q967" s="246"/>
      <c r="R967" s="246"/>
      <c r="S967" s="246"/>
      <c r="T967" s="246"/>
      <c r="U967" s="246"/>
      <c r="V967" s="246"/>
    </row>
    <row r="968" spans="2:22" x14ac:dyDescent="0.25">
      <c r="B968" s="247">
        <v>56</v>
      </c>
      <c r="C968" s="247">
        <v>85</v>
      </c>
      <c r="D968" s="247">
        <v>56</v>
      </c>
      <c r="E968" s="247">
        <v>85</v>
      </c>
      <c r="F968" s="247">
        <f t="shared" si="104"/>
        <v>30</v>
      </c>
      <c r="G968" s="246">
        <v>3</v>
      </c>
      <c r="H968" s="247"/>
      <c r="I968" s="246"/>
      <c r="J968" s="246"/>
      <c r="K968" s="246"/>
      <c r="L968" s="246"/>
      <c r="M968" s="246"/>
      <c r="N968" s="246"/>
      <c r="O968" s="246"/>
      <c r="P968" s="246"/>
      <c r="Q968" s="246"/>
      <c r="R968" s="246"/>
      <c r="S968" s="246"/>
      <c r="T968" s="246"/>
      <c r="U968" s="246"/>
      <c r="V968" s="246"/>
    </row>
    <row r="969" spans="2:22" x14ac:dyDescent="0.25">
      <c r="B969" s="247">
        <v>86</v>
      </c>
      <c r="C969" s="247">
        <v>100</v>
      </c>
      <c r="D969" s="247">
        <v>86</v>
      </c>
      <c r="E969" s="247">
        <v>100</v>
      </c>
      <c r="F969" s="247">
        <f t="shared" si="104"/>
        <v>15</v>
      </c>
      <c r="G969" s="246">
        <v>3.5</v>
      </c>
      <c r="H969" s="247"/>
      <c r="I969" s="246"/>
      <c r="J969" s="246"/>
      <c r="K969" s="246"/>
      <c r="L969" s="246"/>
      <c r="M969" s="246"/>
      <c r="N969" s="246"/>
      <c r="O969" s="246"/>
      <c r="P969" s="246"/>
      <c r="Q969" s="246"/>
      <c r="R969" s="246"/>
      <c r="S969" s="246"/>
      <c r="T969" s="246"/>
      <c r="U969" s="246"/>
      <c r="V969" s="246"/>
    </row>
    <row r="970" spans="2:22" x14ac:dyDescent="0.25">
      <c r="B970" s="247">
        <v>101</v>
      </c>
      <c r="C970" s="247">
        <v>110</v>
      </c>
      <c r="D970" s="247">
        <v>101</v>
      </c>
      <c r="E970" s="247">
        <v>110</v>
      </c>
      <c r="F970" s="247">
        <f t="shared" si="104"/>
        <v>10</v>
      </c>
      <c r="G970" s="246">
        <v>3.5</v>
      </c>
      <c r="H970" s="247"/>
      <c r="I970" s="246"/>
      <c r="J970" s="246"/>
      <c r="K970" s="246"/>
      <c r="L970" s="246"/>
      <c r="M970" s="246"/>
      <c r="N970" s="246"/>
      <c r="O970" s="246"/>
      <c r="P970" s="246"/>
      <c r="Q970" s="246"/>
      <c r="R970" s="246"/>
      <c r="S970" s="246"/>
      <c r="T970" s="246"/>
      <c r="U970" s="246"/>
      <c r="V970" s="246"/>
    </row>
    <row r="971" spans="2:22" x14ac:dyDescent="0.25">
      <c r="B971" s="247">
        <v>111</v>
      </c>
      <c r="C971" s="247">
        <v>120</v>
      </c>
      <c r="D971" s="247">
        <v>111</v>
      </c>
      <c r="E971" s="247">
        <v>130</v>
      </c>
      <c r="F971" s="247">
        <f t="shared" si="104"/>
        <v>20</v>
      </c>
      <c r="G971" s="246">
        <v>4</v>
      </c>
      <c r="H971" s="247"/>
      <c r="I971" s="246"/>
      <c r="J971" s="246"/>
      <c r="K971" s="246"/>
      <c r="L971" s="246"/>
      <c r="M971" s="246"/>
      <c r="N971" s="246"/>
      <c r="O971" s="246"/>
      <c r="P971" s="246"/>
      <c r="Q971" s="246"/>
      <c r="R971" s="246"/>
      <c r="S971" s="246"/>
      <c r="T971" s="246"/>
      <c r="U971" s="246"/>
      <c r="V971" s="246"/>
    </row>
    <row r="972" spans="2:22" x14ac:dyDescent="0.25">
      <c r="B972" s="246"/>
      <c r="C972" s="246"/>
      <c r="D972" s="246"/>
      <c r="E972" s="246"/>
      <c r="F972" s="246"/>
      <c r="G972" s="246"/>
      <c r="H972" s="246"/>
      <c r="I972" s="246"/>
      <c r="J972" s="246"/>
      <c r="K972" s="246"/>
      <c r="L972" s="246"/>
      <c r="M972" s="246"/>
      <c r="N972" s="246"/>
      <c r="O972" s="246"/>
      <c r="P972" s="246"/>
      <c r="Q972" s="246"/>
      <c r="R972" s="246"/>
      <c r="S972" s="246"/>
      <c r="T972" s="246"/>
      <c r="U972" s="246"/>
      <c r="V972" s="246"/>
    </row>
    <row r="973" spans="2:22" x14ac:dyDescent="0.25">
      <c r="B973" s="386" t="s">
        <v>347</v>
      </c>
      <c r="C973" s="386"/>
      <c r="D973" s="386"/>
      <c r="E973" s="386"/>
      <c r="F973" s="386"/>
      <c r="G973" s="247"/>
      <c r="H973" s="247"/>
      <c r="I973" s="246"/>
      <c r="J973" s="246"/>
      <c r="K973" s="246"/>
      <c r="L973" s="246"/>
      <c r="M973" s="246"/>
      <c r="N973" s="246"/>
      <c r="O973" s="246"/>
      <c r="P973" s="246"/>
      <c r="Q973" s="246"/>
      <c r="R973" s="246"/>
      <c r="S973" s="246"/>
      <c r="T973" s="246"/>
      <c r="U973" s="246"/>
      <c r="V973" s="246"/>
    </row>
    <row r="974" spans="2:22" x14ac:dyDescent="0.25">
      <c r="B974" s="386" t="s">
        <v>254</v>
      </c>
      <c r="C974" s="386"/>
      <c r="D974" s="386" t="s">
        <v>254</v>
      </c>
      <c r="E974" s="386"/>
      <c r="F974" s="192" t="s">
        <v>313</v>
      </c>
      <c r="G974" s="247" t="s">
        <v>314</v>
      </c>
      <c r="H974" s="247" t="s">
        <v>316</v>
      </c>
      <c r="I974" s="246"/>
      <c r="J974" s="246"/>
      <c r="K974" s="246"/>
      <c r="L974" s="246"/>
      <c r="M974" s="246"/>
      <c r="N974" s="246"/>
      <c r="O974" s="246"/>
      <c r="P974" s="246"/>
      <c r="Q974" s="246"/>
      <c r="R974" s="246"/>
      <c r="S974" s="246"/>
      <c r="T974" s="246"/>
      <c r="U974" s="246"/>
      <c r="V974" s="246"/>
    </row>
    <row r="975" spans="2:22" x14ac:dyDescent="0.25">
      <c r="B975" s="247">
        <v>0</v>
      </c>
      <c r="C975" s="247">
        <v>10</v>
      </c>
      <c r="D975" s="247"/>
      <c r="E975" s="247"/>
      <c r="F975" s="247">
        <v>0</v>
      </c>
      <c r="G975" s="246">
        <v>1.5</v>
      </c>
      <c r="H975" s="247">
        <f>(F975*G975+F976*G976+F977*G977+F978*G978+F979*G979+F980*G980+F981*G981)/100</f>
        <v>3.24</v>
      </c>
      <c r="I975" s="246"/>
      <c r="J975" s="246"/>
      <c r="K975" s="246"/>
      <c r="L975" s="246"/>
      <c r="M975" s="246"/>
      <c r="N975" s="246"/>
      <c r="O975" s="246"/>
      <c r="P975" s="246"/>
      <c r="Q975" s="246"/>
      <c r="R975" s="246"/>
      <c r="S975" s="246"/>
      <c r="T975" s="246"/>
      <c r="U975" s="246"/>
      <c r="V975" s="246"/>
    </row>
    <row r="976" spans="2:22" x14ac:dyDescent="0.25">
      <c r="B976" s="247">
        <v>11</v>
      </c>
      <c r="C976" s="247">
        <v>25</v>
      </c>
      <c r="D976" s="247"/>
      <c r="E976" s="247"/>
      <c r="F976" s="247">
        <v>0</v>
      </c>
      <c r="G976" s="246">
        <v>2</v>
      </c>
      <c r="H976" s="247"/>
      <c r="I976" s="246"/>
      <c r="J976" s="246"/>
      <c r="K976" s="246"/>
      <c r="L976" s="246"/>
      <c r="M976" s="246"/>
      <c r="N976" s="246"/>
      <c r="O976" s="246"/>
      <c r="P976" s="246"/>
      <c r="Q976" s="246"/>
      <c r="R976" s="246"/>
      <c r="S976" s="246"/>
      <c r="T976" s="246"/>
      <c r="U976" s="246"/>
      <c r="V976" s="246"/>
    </row>
    <row r="977" spans="2:22" x14ac:dyDescent="0.25">
      <c r="B977" s="247">
        <v>26</v>
      </c>
      <c r="C977" s="247">
        <v>55</v>
      </c>
      <c r="D977" s="247">
        <v>31</v>
      </c>
      <c r="E977" s="247">
        <v>55</v>
      </c>
      <c r="F977" s="247">
        <f t="shared" ref="F977:F981" si="105">E977-D977+1</f>
        <v>25</v>
      </c>
      <c r="G977" s="246">
        <v>2.5</v>
      </c>
      <c r="H977" s="247"/>
      <c r="I977" s="246"/>
      <c r="J977" s="246"/>
      <c r="K977" s="246"/>
      <c r="L977" s="246"/>
      <c r="M977" s="246"/>
      <c r="N977" s="246"/>
      <c r="O977" s="246"/>
      <c r="P977" s="246"/>
      <c r="Q977" s="246"/>
      <c r="R977" s="246"/>
      <c r="S977" s="246"/>
      <c r="T977" s="246"/>
      <c r="U977" s="246"/>
      <c r="V977" s="246"/>
    </row>
    <row r="978" spans="2:22" x14ac:dyDescent="0.25">
      <c r="B978" s="247">
        <v>56</v>
      </c>
      <c r="C978" s="247">
        <v>85</v>
      </c>
      <c r="D978" s="247">
        <v>56</v>
      </c>
      <c r="E978" s="247">
        <v>85</v>
      </c>
      <c r="F978" s="247">
        <f t="shared" si="105"/>
        <v>30</v>
      </c>
      <c r="G978" s="246">
        <v>3</v>
      </c>
      <c r="H978" s="247"/>
      <c r="I978" s="246"/>
      <c r="J978" s="246"/>
      <c r="K978" s="246"/>
      <c r="L978" s="246"/>
      <c r="M978" s="246"/>
      <c r="N978" s="246"/>
      <c r="O978" s="246"/>
      <c r="P978" s="246"/>
      <c r="Q978" s="246"/>
      <c r="R978" s="246"/>
      <c r="S978" s="246"/>
      <c r="T978" s="246"/>
      <c r="U978" s="246"/>
      <c r="V978" s="246"/>
    </row>
    <row r="979" spans="2:22" x14ac:dyDescent="0.25">
      <c r="B979" s="247">
        <v>86</v>
      </c>
      <c r="C979" s="247">
        <v>100</v>
      </c>
      <c r="D979" s="247">
        <v>86</v>
      </c>
      <c r="E979" s="247">
        <v>100</v>
      </c>
      <c r="F979" s="247">
        <f t="shared" si="105"/>
        <v>15</v>
      </c>
      <c r="G979" s="246">
        <v>3.5</v>
      </c>
      <c r="H979" s="247"/>
      <c r="I979" s="246"/>
      <c r="J979" s="246"/>
      <c r="K979" s="246"/>
      <c r="L979" s="246"/>
      <c r="M979" s="246"/>
      <c r="N979" s="246"/>
      <c r="O979" s="246"/>
      <c r="P979" s="246"/>
      <c r="Q979" s="246"/>
      <c r="R979" s="246"/>
      <c r="S979" s="246"/>
      <c r="T979" s="246"/>
      <c r="U979" s="246"/>
      <c r="V979" s="246"/>
    </row>
    <row r="980" spans="2:22" x14ac:dyDescent="0.25">
      <c r="B980" s="247">
        <v>101</v>
      </c>
      <c r="C980" s="247">
        <v>110</v>
      </c>
      <c r="D980" s="247">
        <v>101</v>
      </c>
      <c r="E980" s="247">
        <v>110</v>
      </c>
      <c r="F980" s="247">
        <f t="shared" si="105"/>
        <v>10</v>
      </c>
      <c r="G980" s="246">
        <v>3.5</v>
      </c>
      <c r="H980" s="247"/>
      <c r="I980" s="246"/>
      <c r="J980" s="246"/>
      <c r="K980" s="246"/>
      <c r="L980" s="246"/>
      <c r="M980" s="246"/>
      <c r="N980" s="246"/>
      <c r="O980" s="246"/>
      <c r="P980" s="246"/>
      <c r="Q980" s="246"/>
      <c r="R980" s="246"/>
      <c r="S980" s="246"/>
      <c r="T980" s="246"/>
      <c r="U980" s="246"/>
      <c r="V980" s="246"/>
    </row>
    <row r="981" spans="2:22" x14ac:dyDescent="0.25">
      <c r="B981" s="247">
        <v>111</v>
      </c>
      <c r="C981" s="247">
        <v>120</v>
      </c>
      <c r="D981" s="247">
        <v>111</v>
      </c>
      <c r="E981" s="247">
        <v>131</v>
      </c>
      <c r="F981" s="247">
        <f t="shared" si="105"/>
        <v>21</v>
      </c>
      <c r="G981" s="246">
        <v>4</v>
      </c>
      <c r="H981" s="247"/>
      <c r="I981" s="246"/>
      <c r="J981" s="246"/>
      <c r="K981" s="246"/>
      <c r="L981" s="246"/>
      <c r="M981" s="246"/>
      <c r="N981" s="246"/>
      <c r="O981" s="246"/>
      <c r="P981" s="246"/>
      <c r="Q981" s="246"/>
      <c r="R981" s="246"/>
      <c r="S981" s="246"/>
      <c r="T981" s="246"/>
      <c r="U981" s="246"/>
      <c r="V981" s="246"/>
    </row>
    <row r="987" spans="2:22" x14ac:dyDescent="0.25">
      <c r="B987" s="246"/>
      <c r="C987" s="246"/>
      <c r="D987" s="246"/>
      <c r="E987" s="246"/>
      <c r="F987" s="246"/>
      <c r="G987" s="246"/>
      <c r="H987" s="246"/>
      <c r="I987" s="246"/>
      <c r="J987" s="246"/>
      <c r="K987" s="246"/>
      <c r="L987" s="246"/>
      <c r="M987" s="246"/>
      <c r="N987" s="246"/>
      <c r="O987" s="246"/>
      <c r="P987" s="246"/>
      <c r="Q987" s="246"/>
      <c r="R987" s="246"/>
      <c r="S987" s="246"/>
      <c r="T987" s="246"/>
      <c r="U987" s="246"/>
      <c r="V987" s="246"/>
    </row>
    <row r="988" spans="2:22" ht="15.75" thickBot="1" x14ac:dyDescent="0.3">
      <c r="B988" s="246" t="s">
        <v>420</v>
      </c>
      <c r="C988" s="246"/>
      <c r="D988" s="246"/>
      <c r="E988" s="246"/>
      <c r="F988" s="246"/>
      <c r="G988" s="246"/>
      <c r="H988" s="246"/>
      <c r="I988" s="246"/>
      <c r="J988" s="246"/>
      <c r="K988" s="246"/>
      <c r="L988" s="246"/>
      <c r="M988" s="246"/>
      <c r="N988" s="246"/>
      <c r="O988" s="246"/>
      <c r="P988" s="246"/>
      <c r="Q988" s="246"/>
      <c r="R988" s="246"/>
      <c r="S988" s="246"/>
      <c r="T988" s="246"/>
      <c r="U988" s="246"/>
      <c r="V988" s="246"/>
    </row>
    <row r="989" spans="2:22" ht="15.75" thickBot="1" x14ac:dyDescent="0.3">
      <c r="B989" s="386" t="s">
        <v>317</v>
      </c>
      <c r="C989" s="386"/>
      <c r="D989" s="386"/>
      <c r="E989" s="386"/>
      <c r="F989" s="386"/>
      <c r="G989" s="247"/>
      <c r="H989" s="247"/>
      <c r="I989" s="246"/>
      <c r="J989" s="246"/>
      <c r="K989" s="389" t="s">
        <v>277</v>
      </c>
      <c r="L989" s="369"/>
      <c r="M989" s="369"/>
      <c r="N989" s="369"/>
      <c r="O989" s="369"/>
      <c r="P989" s="369"/>
      <c r="Q989" s="368"/>
      <c r="R989" s="388" t="s">
        <v>421</v>
      </c>
      <c r="S989" s="377"/>
      <c r="T989" s="377"/>
      <c r="U989" s="377"/>
      <c r="V989" s="377"/>
    </row>
    <row r="990" spans="2:22" ht="15.75" thickBot="1" x14ac:dyDescent="0.3">
      <c r="B990" s="386" t="s">
        <v>254</v>
      </c>
      <c r="C990" s="386"/>
      <c r="D990" s="386" t="s">
        <v>254</v>
      </c>
      <c r="E990" s="386"/>
      <c r="F990" s="192" t="s">
        <v>313</v>
      </c>
      <c r="G990" s="247" t="s">
        <v>314</v>
      </c>
      <c r="H990" s="247" t="s">
        <v>316</v>
      </c>
      <c r="I990" s="246"/>
      <c r="J990" s="246"/>
      <c r="K990" s="164"/>
      <c r="L990" s="171" t="s">
        <v>264</v>
      </c>
      <c r="M990" s="172" t="s">
        <v>265</v>
      </c>
      <c r="N990" s="172" t="s">
        <v>266</v>
      </c>
      <c r="O990" s="172" t="s">
        <v>267</v>
      </c>
      <c r="P990" s="172" t="s">
        <v>268</v>
      </c>
      <c r="Q990" s="173" t="s">
        <v>269</v>
      </c>
      <c r="R990" s="388" t="s">
        <v>254</v>
      </c>
      <c r="S990" s="385"/>
      <c r="T990" s="190" t="s">
        <v>313</v>
      </c>
      <c r="U990" s="246" t="s">
        <v>314</v>
      </c>
      <c r="V990" s="246" t="s">
        <v>316</v>
      </c>
    </row>
    <row r="991" spans="2:22" x14ac:dyDescent="0.25">
      <c r="B991" s="247">
        <v>0</v>
      </c>
      <c r="C991" s="247">
        <v>10</v>
      </c>
      <c r="D991" s="247">
        <v>1</v>
      </c>
      <c r="E991" s="247">
        <v>10</v>
      </c>
      <c r="F991" s="247">
        <f>E991-D991+1</f>
        <v>10</v>
      </c>
      <c r="G991" s="246">
        <v>2</v>
      </c>
      <c r="H991" s="247">
        <f>(F991*G991+F992*G992+F993*G993+F994*G994+F995*G995+F996*G996)/100</f>
        <v>2.9350000000000001</v>
      </c>
      <c r="I991" s="246"/>
      <c r="K991" s="136" t="s">
        <v>270</v>
      </c>
      <c r="L991" s="161">
        <v>2</v>
      </c>
      <c r="M991" s="162">
        <v>1.5</v>
      </c>
      <c r="N991" s="162">
        <v>1</v>
      </c>
      <c r="O991" s="162">
        <v>2</v>
      </c>
      <c r="P991" s="162">
        <v>1.5</v>
      </c>
      <c r="Q991" s="163">
        <v>1.5</v>
      </c>
      <c r="R991" s="246">
        <v>0</v>
      </c>
      <c r="S991" s="246">
        <v>10</v>
      </c>
      <c r="T991" s="246">
        <f>S991-R991+1</f>
        <v>11</v>
      </c>
      <c r="U991" s="246">
        <v>2</v>
      </c>
      <c r="V991" s="246">
        <f>(U991*T991+U992*T992+U993*T993+U994*T994+U995*T995)/100</f>
        <v>2.92</v>
      </c>
    </row>
    <row r="992" spans="2:22" x14ac:dyDescent="0.25">
      <c r="B992" s="247">
        <v>11</v>
      </c>
      <c r="C992" s="247">
        <v>25</v>
      </c>
      <c r="D992" s="247">
        <v>11</v>
      </c>
      <c r="E992" s="247">
        <v>25</v>
      </c>
      <c r="F992" s="247">
        <f t="shared" ref="F992:F996" si="106">E992-D992+1</f>
        <v>15</v>
      </c>
      <c r="G992" s="246">
        <v>2.5</v>
      </c>
      <c r="H992" s="247"/>
      <c r="I992" s="246"/>
      <c r="J992" s="246"/>
      <c r="K992" s="157" t="s">
        <v>271</v>
      </c>
      <c r="L992" s="158">
        <v>2.5</v>
      </c>
      <c r="M992" s="159">
        <v>2</v>
      </c>
      <c r="N992" s="159">
        <v>1.5</v>
      </c>
      <c r="O992" s="159">
        <v>2.5</v>
      </c>
      <c r="P992" s="159">
        <v>2</v>
      </c>
      <c r="Q992" s="160">
        <v>2</v>
      </c>
      <c r="R992" s="246">
        <v>11</v>
      </c>
      <c r="S992" s="246">
        <v>25</v>
      </c>
      <c r="T992" s="246">
        <f t="shared" ref="T992:T995" si="107">S992-R992+1</f>
        <v>15</v>
      </c>
      <c r="U992" s="246">
        <v>2.5</v>
      </c>
      <c r="V992" s="246"/>
    </row>
    <row r="993" spans="2:22" x14ac:dyDescent="0.25">
      <c r="B993" s="247">
        <v>26</v>
      </c>
      <c r="C993" s="247">
        <v>55</v>
      </c>
      <c r="D993" s="247">
        <v>26</v>
      </c>
      <c r="E993" s="247">
        <v>55</v>
      </c>
      <c r="F993" s="247">
        <f t="shared" si="106"/>
        <v>30</v>
      </c>
      <c r="G993" s="246">
        <v>3</v>
      </c>
      <c r="H993" s="247"/>
      <c r="I993" s="246"/>
      <c r="J993" s="246"/>
      <c r="K993" s="138" t="s">
        <v>272</v>
      </c>
      <c r="L993" s="150">
        <v>3</v>
      </c>
      <c r="M993" s="151">
        <v>2.5</v>
      </c>
      <c r="N993" s="151">
        <v>1.5</v>
      </c>
      <c r="O993" s="151">
        <v>3</v>
      </c>
      <c r="P993" s="151">
        <v>2.5</v>
      </c>
      <c r="Q993" s="152">
        <v>2.5</v>
      </c>
      <c r="R993" s="246">
        <v>26</v>
      </c>
      <c r="S993" s="246">
        <v>55</v>
      </c>
      <c r="T993" s="246">
        <f t="shared" si="107"/>
        <v>30</v>
      </c>
      <c r="U993" s="246">
        <v>3</v>
      </c>
      <c r="V993" s="246"/>
    </row>
    <row r="994" spans="2:22" x14ac:dyDescent="0.25">
      <c r="B994" s="247">
        <v>56</v>
      </c>
      <c r="C994" s="247">
        <v>85</v>
      </c>
      <c r="D994" s="247">
        <v>56</v>
      </c>
      <c r="E994" s="247">
        <v>85</v>
      </c>
      <c r="F994" s="247">
        <f t="shared" si="106"/>
        <v>30</v>
      </c>
      <c r="G994" s="246">
        <v>3</v>
      </c>
      <c r="H994" s="247"/>
      <c r="I994" s="246"/>
      <c r="J994" s="246"/>
      <c r="K994" s="137" t="s">
        <v>273</v>
      </c>
      <c r="L994" s="147">
        <v>3</v>
      </c>
      <c r="M994" s="148">
        <v>3</v>
      </c>
      <c r="N994" s="148">
        <v>1.5</v>
      </c>
      <c r="O994" s="148">
        <v>3</v>
      </c>
      <c r="P994" s="148">
        <v>3</v>
      </c>
      <c r="Q994" s="149">
        <v>3</v>
      </c>
      <c r="R994" s="246">
        <v>56</v>
      </c>
      <c r="S994" s="246">
        <v>85</v>
      </c>
      <c r="T994" s="246">
        <f t="shared" si="107"/>
        <v>30</v>
      </c>
      <c r="U994" s="246">
        <v>3</v>
      </c>
      <c r="V994" s="246"/>
    </row>
    <row r="995" spans="2:22" x14ac:dyDescent="0.25">
      <c r="B995" s="247">
        <v>86</v>
      </c>
      <c r="C995" s="247">
        <v>100</v>
      </c>
      <c r="D995" s="247">
        <v>86</v>
      </c>
      <c r="E995" s="247">
        <v>100</v>
      </c>
      <c r="F995" s="247">
        <f t="shared" si="106"/>
        <v>15</v>
      </c>
      <c r="G995" s="246">
        <v>3.5</v>
      </c>
      <c r="H995" s="247"/>
      <c r="I995" s="246"/>
      <c r="J995" s="246"/>
      <c r="K995" s="153" t="s">
        <v>274</v>
      </c>
      <c r="L995" s="154">
        <v>3.5</v>
      </c>
      <c r="M995" s="155">
        <v>3.5</v>
      </c>
      <c r="N995" s="155">
        <v>2</v>
      </c>
      <c r="O995" s="155">
        <v>3.5</v>
      </c>
      <c r="P995" s="155">
        <v>3</v>
      </c>
      <c r="Q995" s="156">
        <v>3</v>
      </c>
      <c r="R995" s="246">
        <v>86</v>
      </c>
      <c r="S995" s="246">
        <v>100</v>
      </c>
      <c r="T995" s="246">
        <f t="shared" si="107"/>
        <v>15</v>
      </c>
      <c r="U995" s="246">
        <v>3.5</v>
      </c>
      <c r="V995" s="246"/>
    </row>
    <row r="996" spans="2:22" x14ac:dyDescent="0.25">
      <c r="B996" s="247">
        <v>101</v>
      </c>
      <c r="C996" s="247">
        <v>110</v>
      </c>
      <c r="D996" s="247">
        <v>101</v>
      </c>
      <c r="E996" s="247">
        <v>101</v>
      </c>
      <c r="F996" s="247">
        <f t="shared" si="106"/>
        <v>1</v>
      </c>
      <c r="G996" s="246">
        <v>3.5</v>
      </c>
      <c r="H996" s="247"/>
      <c r="I996" s="246"/>
      <c r="J996" s="246"/>
      <c r="K996" s="143" t="s">
        <v>275</v>
      </c>
      <c r="L996" s="144">
        <v>4</v>
      </c>
      <c r="M996" s="248">
        <v>3.5</v>
      </c>
      <c r="N996" s="248">
        <v>2</v>
      </c>
      <c r="O996" s="248">
        <v>3.5</v>
      </c>
      <c r="P996" s="248">
        <v>3</v>
      </c>
      <c r="Q996" s="146">
        <v>3</v>
      </c>
      <c r="R996" s="246">
        <v>101</v>
      </c>
      <c r="S996" s="246">
        <v>110</v>
      </c>
      <c r="T996" s="246"/>
      <c r="U996" s="246">
        <v>3.5</v>
      </c>
      <c r="V996" s="246"/>
    </row>
    <row r="997" spans="2:22" ht="15.75" thickBot="1" x14ac:dyDescent="0.3">
      <c r="B997" s="247">
        <v>111</v>
      </c>
      <c r="C997" s="247">
        <v>120</v>
      </c>
      <c r="D997" s="247"/>
      <c r="E997" s="247"/>
      <c r="F997" s="247"/>
      <c r="G997" s="246">
        <v>3.5</v>
      </c>
      <c r="H997" s="247"/>
      <c r="I997" s="246"/>
      <c r="J997" s="246"/>
      <c r="K997" s="139" t="s">
        <v>276</v>
      </c>
      <c r="L997" s="140">
        <v>4</v>
      </c>
      <c r="M997" s="141">
        <v>4</v>
      </c>
      <c r="N997" s="141">
        <v>2.5</v>
      </c>
      <c r="O997" s="141">
        <v>3.5</v>
      </c>
      <c r="P997" s="141">
        <v>3</v>
      </c>
      <c r="Q997" s="142">
        <v>3</v>
      </c>
      <c r="R997" s="246">
        <v>111</v>
      </c>
      <c r="S997" s="246">
        <v>120</v>
      </c>
      <c r="T997" s="246"/>
      <c r="U997" s="246">
        <v>3.5</v>
      </c>
      <c r="V997" s="246"/>
    </row>
    <row r="998" spans="2:22" x14ac:dyDescent="0.25">
      <c r="B998" s="246"/>
      <c r="C998" s="246"/>
      <c r="D998" s="246"/>
      <c r="E998" s="246"/>
      <c r="F998" s="246"/>
      <c r="G998" s="246"/>
      <c r="H998" s="246"/>
      <c r="I998" s="246"/>
      <c r="J998" s="246"/>
      <c r="K998" s="246"/>
      <c r="L998" s="246"/>
      <c r="M998" s="246"/>
      <c r="N998" s="246"/>
      <c r="O998" s="246"/>
      <c r="P998" s="246"/>
      <c r="Q998" s="246"/>
      <c r="R998" s="246"/>
      <c r="S998" s="246"/>
      <c r="T998" s="246"/>
      <c r="U998" s="246"/>
      <c r="V998" s="246"/>
    </row>
    <row r="999" spans="2:22" x14ac:dyDescent="0.25">
      <c r="B999" s="246"/>
      <c r="C999" s="246"/>
      <c r="D999" s="246"/>
      <c r="E999" s="246"/>
      <c r="F999" s="246"/>
      <c r="G999" s="246"/>
      <c r="H999" s="246"/>
      <c r="I999" s="246"/>
      <c r="J999" s="246"/>
      <c r="K999" s="246"/>
      <c r="L999" s="246"/>
      <c r="M999" s="246"/>
      <c r="N999" s="246"/>
      <c r="O999" s="246"/>
      <c r="P999" s="246"/>
      <c r="Q999" s="246"/>
      <c r="R999" s="246"/>
      <c r="S999" s="246"/>
      <c r="T999" s="246"/>
      <c r="U999" s="246"/>
      <c r="V999" s="246"/>
    </row>
    <row r="1000" spans="2:22" x14ac:dyDescent="0.25">
      <c r="B1000" s="386" t="s">
        <v>318</v>
      </c>
      <c r="C1000" s="386"/>
      <c r="D1000" s="386"/>
      <c r="E1000" s="386"/>
      <c r="F1000" s="386"/>
      <c r="G1000" s="247"/>
      <c r="H1000" s="247"/>
      <c r="I1000" s="246"/>
      <c r="J1000" s="246"/>
      <c r="K1000" s="246"/>
      <c r="L1000" s="246"/>
      <c r="M1000" s="246"/>
      <c r="N1000" s="246"/>
      <c r="O1000" s="246"/>
      <c r="P1000" s="246"/>
      <c r="Q1000" s="246"/>
      <c r="R1000" s="246"/>
      <c r="S1000" s="246"/>
      <c r="T1000" s="246"/>
      <c r="U1000" s="246"/>
      <c r="V1000" s="246"/>
    </row>
    <row r="1001" spans="2:22" x14ac:dyDescent="0.25">
      <c r="B1001" s="386" t="s">
        <v>254</v>
      </c>
      <c r="C1001" s="386"/>
      <c r="D1001" s="386" t="s">
        <v>254</v>
      </c>
      <c r="E1001" s="386"/>
      <c r="F1001" s="192" t="s">
        <v>313</v>
      </c>
      <c r="G1001" s="247" t="s">
        <v>314</v>
      </c>
      <c r="H1001" s="247" t="s">
        <v>316</v>
      </c>
      <c r="I1001" s="246"/>
      <c r="J1001" s="246"/>
      <c r="K1001" s="246"/>
      <c r="L1001" s="246"/>
      <c r="M1001" s="246"/>
      <c r="N1001" s="246"/>
      <c r="O1001" s="246"/>
      <c r="P1001" s="246"/>
      <c r="Q1001" s="246"/>
      <c r="R1001" s="246"/>
      <c r="S1001" s="246"/>
      <c r="T1001" s="246"/>
      <c r="U1001" s="246"/>
      <c r="V1001" s="246"/>
    </row>
    <row r="1002" spans="2:22" x14ac:dyDescent="0.25">
      <c r="B1002" s="247">
        <v>0</v>
      </c>
      <c r="C1002" s="247">
        <v>10</v>
      </c>
      <c r="D1002" s="247">
        <v>2</v>
      </c>
      <c r="E1002" s="247">
        <v>10</v>
      </c>
      <c r="F1002" s="247">
        <f>E1002-D1002+1</f>
        <v>9</v>
      </c>
      <c r="G1002" s="246">
        <v>2</v>
      </c>
      <c r="H1002" s="247">
        <f>(F1002*G1002+F1003*G1003+F1004*G1004+F1005*G1005+F1006*G1006+F1007*G1007)/100</f>
        <v>2.95</v>
      </c>
      <c r="I1002" s="246"/>
      <c r="J1002" s="246"/>
      <c r="K1002" s="246"/>
      <c r="L1002" s="246"/>
      <c r="M1002" s="246"/>
      <c r="N1002" s="246"/>
      <c r="O1002" s="246"/>
      <c r="P1002" s="246"/>
      <c r="Q1002" s="246"/>
      <c r="R1002" s="246"/>
      <c r="S1002" s="246"/>
      <c r="T1002" s="246"/>
      <c r="U1002" s="246"/>
      <c r="V1002" s="246"/>
    </row>
    <row r="1003" spans="2:22" x14ac:dyDescent="0.25">
      <c r="B1003" s="247">
        <v>11</v>
      </c>
      <c r="C1003" s="247">
        <v>25</v>
      </c>
      <c r="D1003" s="247">
        <v>11</v>
      </c>
      <c r="E1003" s="247">
        <v>25</v>
      </c>
      <c r="F1003" s="247">
        <f t="shared" ref="F1003:F1007" si="108">E1003-D1003+1</f>
        <v>15</v>
      </c>
      <c r="G1003" s="246">
        <v>2.5</v>
      </c>
      <c r="H1003" s="247"/>
      <c r="I1003" s="246"/>
      <c r="J1003" s="246"/>
      <c r="K1003" s="246"/>
      <c r="L1003" s="246"/>
      <c r="M1003" s="246"/>
      <c r="N1003" s="246"/>
      <c r="O1003" s="246"/>
      <c r="P1003" s="246"/>
      <c r="Q1003" s="246"/>
      <c r="R1003" s="246"/>
      <c r="S1003" s="246"/>
      <c r="T1003" s="246"/>
      <c r="U1003" s="246"/>
      <c r="V1003" s="246"/>
    </row>
    <row r="1004" spans="2:22" x14ac:dyDescent="0.25">
      <c r="B1004" s="247">
        <v>26</v>
      </c>
      <c r="C1004" s="247">
        <v>55</v>
      </c>
      <c r="D1004" s="247">
        <v>26</v>
      </c>
      <c r="E1004" s="247">
        <v>55</v>
      </c>
      <c r="F1004" s="247">
        <f t="shared" si="108"/>
        <v>30</v>
      </c>
      <c r="G1004" s="246">
        <v>3</v>
      </c>
      <c r="H1004" s="247"/>
      <c r="I1004" s="246"/>
      <c r="J1004" s="246"/>
      <c r="K1004" s="246"/>
      <c r="L1004" s="246"/>
      <c r="M1004" s="246"/>
      <c r="N1004" s="246"/>
      <c r="O1004" s="246"/>
      <c r="P1004" s="246"/>
      <c r="Q1004" s="246"/>
      <c r="R1004" s="246"/>
      <c r="S1004" s="246"/>
      <c r="T1004" s="246"/>
      <c r="U1004" s="246"/>
      <c r="V1004" s="246"/>
    </row>
    <row r="1005" spans="2:22" x14ac:dyDescent="0.25">
      <c r="B1005" s="247">
        <v>56</v>
      </c>
      <c r="C1005" s="247">
        <v>85</v>
      </c>
      <c r="D1005" s="247">
        <v>56</v>
      </c>
      <c r="E1005" s="247">
        <v>85</v>
      </c>
      <c r="F1005" s="247">
        <f t="shared" si="108"/>
        <v>30</v>
      </c>
      <c r="G1005" s="246">
        <v>3</v>
      </c>
      <c r="H1005" s="247"/>
      <c r="I1005" s="246"/>
      <c r="J1005" s="246"/>
      <c r="K1005" s="246"/>
      <c r="L1005" s="246"/>
      <c r="M1005" s="246"/>
      <c r="N1005" s="246"/>
      <c r="O1005" s="246"/>
      <c r="P1005" s="246"/>
      <c r="Q1005" s="246"/>
      <c r="R1005" s="246"/>
      <c r="S1005" s="246"/>
      <c r="T1005" s="246"/>
      <c r="U1005" s="246"/>
      <c r="V1005" s="246"/>
    </row>
    <row r="1006" spans="2:22" x14ac:dyDescent="0.25">
      <c r="B1006" s="247">
        <v>86</v>
      </c>
      <c r="C1006" s="247">
        <v>100</v>
      </c>
      <c r="D1006" s="247">
        <v>86</v>
      </c>
      <c r="E1006" s="247">
        <v>100</v>
      </c>
      <c r="F1006" s="247">
        <f t="shared" si="108"/>
        <v>15</v>
      </c>
      <c r="G1006" s="246">
        <v>3.5</v>
      </c>
      <c r="H1006" s="247"/>
      <c r="I1006" s="246"/>
      <c r="J1006" s="246"/>
      <c r="K1006" s="246"/>
      <c r="L1006" s="246"/>
      <c r="M1006" s="246"/>
      <c r="N1006" s="246"/>
      <c r="O1006" s="246"/>
      <c r="P1006" s="246"/>
      <c r="Q1006" s="246"/>
      <c r="R1006" s="246"/>
      <c r="S1006" s="246"/>
      <c r="T1006" s="246"/>
      <c r="U1006" s="246"/>
      <c r="V1006" s="246"/>
    </row>
    <row r="1007" spans="2:22" x14ac:dyDescent="0.25">
      <c r="B1007" s="247">
        <v>101</v>
      </c>
      <c r="C1007" s="247">
        <v>110</v>
      </c>
      <c r="D1007" s="247">
        <v>101</v>
      </c>
      <c r="E1007" s="247">
        <v>102</v>
      </c>
      <c r="F1007" s="247">
        <f t="shared" si="108"/>
        <v>2</v>
      </c>
      <c r="G1007" s="246">
        <v>3.5</v>
      </c>
      <c r="H1007" s="247"/>
      <c r="I1007" s="246"/>
      <c r="J1007" s="246"/>
      <c r="K1007" s="246"/>
      <c r="L1007" s="246"/>
      <c r="M1007" s="246"/>
      <c r="N1007" s="246"/>
      <c r="O1007" s="246"/>
      <c r="P1007" s="246"/>
      <c r="Q1007" s="246"/>
      <c r="R1007" s="246"/>
      <c r="S1007" s="246"/>
      <c r="T1007" s="246"/>
      <c r="U1007" s="246"/>
      <c r="V1007" s="246"/>
    </row>
    <row r="1008" spans="2:22" x14ac:dyDescent="0.25">
      <c r="B1008" s="247">
        <v>111</v>
      </c>
      <c r="C1008" s="247">
        <v>120</v>
      </c>
      <c r="D1008" s="247"/>
      <c r="E1008" s="247"/>
      <c r="F1008" s="247"/>
      <c r="G1008" s="246">
        <v>3.5</v>
      </c>
      <c r="H1008" s="247"/>
      <c r="I1008" s="246"/>
      <c r="J1008" s="246"/>
      <c r="K1008" s="246"/>
      <c r="L1008" s="246"/>
      <c r="M1008" s="246"/>
      <c r="N1008" s="246"/>
      <c r="O1008" s="246"/>
      <c r="P1008" s="246"/>
      <c r="Q1008" s="246"/>
      <c r="R1008" s="246"/>
      <c r="S1008" s="246"/>
      <c r="T1008" s="246"/>
      <c r="U1008" s="246"/>
      <c r="V1008" s="246"/>
    </row>
    <row r="1009" spans="2:22" x14ac:dyDescent="0.25">
      <c r="B1009" s="246"/>
      <c r="C1009" s="246"/>
      <c r="D1009" s="246"/>
      <c r="E1009" s="246"/>
      <c r="F1009" s="246"/>
      <c r="G1009" s="246"/>
      <c r="H1009" s="246"/>
      <c r="I1009" s="246"/>
      <c r="J1009" s="246"/>
      <c r="K1009" s="246"/>
      <c r="L1009" s="246"/>
      <c r="M1009" s="246"/>
      <c r="N1009" s="246"/>
      <c r="O1009" s="246"/>
      <c r="P1009" s="246"/>
      <c r="Q1009" s="246"/>
      <c r="R1009" s="246"/>
      <c r="S1009" s="246"/>
      <c r="T1009" s="246"/>
      <c r="U1009" s="246"/>
      <c r="V1009" s="246"/>
    </row>
    <row r="1010" spans="2:22" x14ac:dyDescent="0.25">
      <c r="B1010" s="386" t="s">
        <v>320</v>
      </c>
      <c r="C1010" s="386"/>
      <c r="D1010" s="386"/>
      <c r="E1010" s="386"/>
      <c r="F1010" s="386"/>
      <c r="G1010" s="247"/>
      <c r="H1010" s="247"/>
      <c r="I1010" s="246"/>
      <c r="J1010" s="246"/>
      <c r="K1010" s="246"/>
      <c r="L1010" s="246"/>
      <c r="M1010" s="246"/>
      <c r="N1010" s="246"/>
      <c r="O1010" s="246"/>
      <c r="P1010" s="246"/>
      <c r="Q1010" s="246"/>
      <c r="R1010" s="246"/>
      <c r="S1010" s="246"/>
      <c r="T1010" s="246"/>
      <c r="U1010" s="246"/>
      <c r="V1010" s="246"/>
    </row>
    <row r="1011" spans="2:22" x14ac:dyDescent="0.25">
      <c r="B1011" s="386" t="s">
        <v>254</v>
      </c>
      <c r="C1011" s="386"/>
      <c r="D1011" s="386" t="s">
        <v>254</v>
      </c>
      <c r="E1011" s="386"/>
      <c r="F1011" s="192" t="s">
        <v>313</v>
      </c>
      <c r="G1011" s="247" t="s">
        <v>314</v>
      </c>
      <c r="H1011" s="247" t="s">
        <v>316</v>
      </c>
      <c r="I1011" s="246"/>
      <c r="J1011" s="246"/>
      <c r="K1011" s="246"/>
      <c r="L1011" s="246"/>
      <c r="M1011" s="246"/>
      <c r="N1011" s="246"/>
      <c r="O1011" s="246"/>
      <c r="P1011" s="246"/>
      <c r="Q1011" s="246"/>
      <c r="R1011" s="246"/>
      <c r="S1011" s="246"/>
      <c r="T1011" s="246"/>
      <c r="U1011" s="246"/>
      <c r="V1011" s="246"/>
    </row>
    <row r="1012" spans="2:22" x14ac:dyDescent="0.25">
      <c r="B1012" s="247">
        <v>0</v>
      </c>
      <c r="C1012" s="247">
        <v>10</v>
      </c>
      <c r="D1012" s="247">
        <v>3</v>
      </c>
      <c r="E1012" s="247">
        <v>10</v>
      </c>
      <c r="F1012" s="247">
        <f>E1012-D1012+1</f>
        <v>8</v>
      </c>
      <c r="G1012" s="246">
        <v>2</v>
      </c>
      <c r="H1012" s="247">
        <f>(F1012*G1012+F1013*G1013+F1014*G1014+F1015*G1015+F1016*G1016+F1017*G1017)/100</f>
        <v>2.9649999999999999</v>
      </c>
      <c r="I1012" s="246"/>
      <c r="J1012" s="246"/>
      <c r="K1012" s="246"/>
      <c r="L1012" s="246"/>
      <c r="M1012" s="246"/>
      <c r="N1012" s="246"/>
      <c r="O1012" s="246"/>
      <c r="P1012" s="246"/>
      <c r="Q1012" s="246"/>
      <c r="R1012" s="246"/>
      <c r="S1012" s="246"/>
      <c r="T1012" s="246"/>
      <c r="U1012" s="246"/>
      <c r="V1012" s="246"/>
    </row>
    <row r="1013" spans="2:22" x14ac:dyDescent="0.25">
      <c r="B1013" s="247">
        <v>11</v>
      </c>
      <c r="C1013" s="247">
        <v>25</v>
      </c>
      <c r="D1013" s="247">
        <v>11</v>
      </c>
      <c r="E1013" s="247">
        <v>25</v>
      </c>
      <c r="F1013" s="247">
        <f t="shared" ref="F1013:F1017" si="109">E1013-D1013+1</f>
        <v>15</v>
      </c>
      <c r="G1013" s="246">
        <v>2.5</v>
      </c>
      <c r="H1013" s="247"/>
      <c r="I1013" s="246"/>
      <c r="J1013" s="246"/>
      <c r="K1013" s="246"/>
      <c r="L1013" s="246"/>
      <c r="M1013" s="246"/>
      <c r="N1013" s="246"/>
      <c r="O1013" s="246"/>
      <c r="P1013" s="246"/>
      <c r="Q1013" s="246"/>
      <c r="R1013" s="246"/>
      <c r="S1013" s="246"/>
      <c r="T1013" s="246"/>
      <c r="U1013" s="246"/>
      <c r="V1013" s="246"/>
    </row>
    <row r="1014" spans="2:22" x14ac:dyDescent="0.25">
      <c r="B1014" s="247">
        <v>26</v>
      </c>
      <c r="C1014" s="247">
        <v>55</v>
      </c>
      <c r="D1014" s="247">
        <v>26</v>
      </c>
      <c r="E1014" s="247">
        <v>55</v>
      </c>
      <c r="F1014" s="247">
        <f t="shared" si="109"/>
        <v>30</v>
      </c>
      <c r="G1014" s="246">
        <v>3</v>
      </c>
      <c r="H1014" s="247"/>
      <c r="I1014" s="246"/>
      <c r="J1014" s="246"/>
      <c r="K1014" s="246"/>
      <c r="L1014" s="246"/>
      <c r="M1014" s="246"/>
      <c r="N1014" s="246"/>
      <c r="O1014" s="246"/>
      <c r="P1014" s="246"/>
      <c r="Q1014" s="246"/>
      <c r="R1014" s="246"/>
      <c r="S1014" s="246"/>
      <c r="T1014" s="246"/>
      <c r="U1014" s="246"/>
      <c r="V1014" s="246"/>
    </row>
    <row r="1015" spans="2:22" x14ac:dyDescent="0.25">
      <c r="B1015" s="247">
        <v>56</v>
      </c>
      <c r="C1015" s="247">
        <v>85</v>
      </c>
      <c r="D1015" s="247">
        <v>56</v>
      </c>
      <c r="E1015" s="247">
        <v>85</v>
      </c>
      <c r="F1015" s="247">
        <f t="shared" si="109"/>
        <v>30</v>
      </c>
      <c r="G1015" s="246">
        <v>3</v>
      </c>
      <c r="H1015" s="247"/>
      <c r="I1015" s="246"/>
      <c r="J1015" s="246"/>
      <c r="K1015" s="246"/>
      <c r="L1015" s="246"/>
      <c r="M1015" s="246"/>
      <c r="N1015" s="246"/>
      <c r="O1015" s="246"/>
      <c r="P1015" s="246"/>
      <c r="Q1015" s="246"/>
      <c r="R1015" s="246"/>
      <c r="S1015" s="246"/>
      <c r="T1015" s="246"/>
      <c r="U1015" s="246"/>
      <c r="V1015" s="246"/>
    </row>
    <row r="1016" spans="2:22" x14ac:dyDescent="0.25">
      <c r="B1016" s="247">
        <v>86</v>
      </c>
      <c r="C1016" s="247">
        <v>100</v>
      </c>
      <c r="D1016" s="247">
        <v>86</v>
      </c>
      <c r="E1016" s="247">
        <v>100</v>
      </c>
      <c r="F1016" s="247">
        <f t="shared" si="109"/>
        <v>15</v>
      </c>
      <c r="G1016" s="246">
        <v>3.5</v>
      </c>
      <c r="H1016" s="247"/>
      <c r="I1016" s="246"/>
      <c r="J1016" s="246"/>
      <c r="K1016" s="246"/>
      <c r="L1016" s="246"/>
      <c r="M1016" s="246"/>
      <c r="N1016" s="246"/>
      <c r="O1016" s="246"/>
      <c r="P1016" s="246"/>
      <c r="Q1016" s="246"/>
      <c r="R1016" s="246"/>
      <c r="S1016" s="246"/>
      <c r="T1016" s="246"/>
      <c r="U1016" s="246"/>
      <c r="V1016" s="246"/>
    </row>
    <row r="1017" spans="2:22" x14ac:dyDescent="0.25">
      <c r="B1017" s="247">
        <v>101</v>
      </c>
      <c r="C1017" s="247">
        <v>110</v>
      </c>
      <c r="D1017" s="247">
        <v>101</v>
      </c>
      <c r="E1017" s="247">
        <v>103</v>
      </c>
      <c r="F1017" s="247">
        <f t="shared" si="109"/>
        <v>3</v>
      </c>
      <c r="G1017" s="246">
        <v>3.5</v>
      </c>
      <c r="H1017" s="247"/>
      <c r="I1017" s="246"/>
      <c r="J1017" s="246"/>
      <c r="K1017" s="246"/>
      <c r="L1017" s="246"/>
      <c r="M1017" s="246"/>
      <c r="N1017" s="246"/>
      <c r="O1017" s="246"/>
      <c r="P1017" s="246"/>
      <c r="Q1017" s="246"/>
      <c r="R1017" s="246"/>
      <c r="S1017" s="246"/>
      <c r="T1017" s="246"/>
      <c r="U1017" s="246"/>
      <c r="V1017" s="246"/>
    </row>
    <row r="1018" spans="2:22" x14ac:dyDescent="0.25">
      <c r="B1018" s="247">
        <v>111</v>
      </c>
      <c r="C1018" s="247">
        <v>120</v>
      </c>
      <c r="D1018" s="247"/>
      <c r="E1018" s="247"/>
      <c r="F1018" s="247"/>
      <c r="G1018" s="246">
        <v>3.5</v>
      </c>
      <c r="H1018" s="247"/>
      <c r="I1018" s="246"/>
      <c r="J1018" s="246"/>
      <c r="K1018" s="246"/>
      <c r="L1018" s="246"/>
      <c r="M1018" s="246"/>
      <c r="N1018" s="246"/>
      <c r="O1018" s="246"/>
      <c r="P1018" s="246"/>
      <c r="Q1018" s="246"/>
      <c r="R1018" s="246"/>
      <c r="S1018" s="246"/>
      <c r="T1018" s="246"/>
      <c r="U1018" s="246"/>
      <c r="V1018" s="246"/>
    </row>
    <row r="1019" spans="2:22" x14ac:dyDescent="0.25">
      <c r="B1019" s="246"/>
      <c r="C1019" s="246"/>
      <c r="D1019" s="246"/>
      <c r="E1019" s="246"/>
      <c r="F1019" s="246"/>
      <c r="G1019" s="246"/>
      <c r="H1019" s="246"/>
      <c r="I1019" s="246"/>
      <c r="J1019" s="246"/>
      <c r="K1019" s="246"/>
      <c r="L1019" s="246"/>
      <c r="M1019" s="246"/>
      <c r="N1019" s="246"/>
      <c r="O1019" s="246"/>
      <c r="P1019" s="246"/>
      <c r="Q1019" s="246"/>
      <c r="R1019" s="246"/>
      <c r="S1019" s="246"/>
      <c r="T1019" s="246"/>
      <c r="U1019" s="246"/>
      <c r="V1019" s="246"/>
    </row>
    <row r="1020" spans="2:22" x14ac:dyDescent="0.25">
      <c r="B1020" s="386" t="s">
        <v>321</v>
      </c>
      <c r="C1020" s="386"/>
      <c r="D1020" s="386"/>
      <c r="E1020" s="386"/>
      <c r="F1020" s="386"/>
      <c r="G1020" s="247"/>
      <c r="H1020" s="247"/>
      <c r="I1020" s="246"/>
      <c r="J1020" s="246"/>
      <c r="K1020" s="246"/>
      <c r="L1020" s="246"/>
      <c r="M1020" s="246"/>
      <c r="N1020" s="246"/>
      <c r="O1020" s="246"/>
      <c r="P1020" s="246"/>
      <c r="Q1020" s="246"/>
      <c r="R1020" s="246"/>
      <c r="S1020" s="246"/>
      <c r="T1020" s="246"/>
      <c r="U1020" s="246"/>
      <c r="V1020" s="246"/>
    </row>
    <row r="1021" spans="2:22" x14ac:dyDescent="0.25">
      <c r="B1021" s="386" t="s">
        <v>254</v>
      </c>
      <c r="C1021" s="386"/>
      <c r="D1021" s="386" t="s">
        <v>254</v>
      </c>
      <c r="E1021" s="386"/>
      <c r="F1021" s="192" t="s">
        <v>313</v>
      </c>
      <c r="G1021" s="247" t="s">
        <v>314</v>
      </c>
      <c r="H1021" s="247" t="s">
        <v>316</v>
      </c>
      <c r="I1021" s="246"/>
      <c r="J1021" s="246"/>
      <c r="K1021" s="246"/>
      <c r="L1021" s="246"/>
      <c r="M1021" s="246"/>
      <c r="N1021" s="246"/>
      <c r="O1021" s="246"/>
      <c r="P1021" s="246"/>
      <c r="Q1021" s="246"/>
      <c r="R1021" s="246"/>
      <c r="S1021" s="246"/>
      <c r="T1021" s="246"/>
      <c r="U1021" s="246"/>
      <c r="V1021" s="246"/>
    </row>
    <row r="1022" spans="2:22" x14ac:dyDescent="0.25">
      <c r="B1022" s="247">
        <v>0</v>
      </c>
      <c r="C1022" s="247">
        <v>10</v>
      </c>
      <c r="D1022" s="247">
        <v>4</v>
      </c>
      <c r="E1022" s="247">
        <v>10</v>
      </c>
      <c r="F1022" s="247">
        <f>E1022-D1022+1</f>
        <v>7</v>
      </c>
      <c r="G1022" s="246">
        <v>2</v>
      </c>
      <c r="H1022" s="247">
        <f>(F1022*G1022+F1023*G1023+F1024*G1024+F1025*G1025+F1026*G1026+F1027*G1027)/100</f>
        <v>2.98</v>
      </c>
      <c r="I1022" s="246"/>
      <c r="J1022" s="246"/>
      <c r="K1022" s="246"/>
      <c r="L1022" s="246"/>
      <c r="M1022" s="246"/>
      <c r="N1022" s="246"/>
      <c r="O1022" s="246"/>
      <c r="P1022" s="246"/>
      <c r="Q1022" s="246"/>
      <c r="R1022" s="246"/>
      <c r="S1022" s="246"/>
      <c r="T1022" s="246"/>
      <c r="U1022" s="246"/>
      <c r="V1022" s="246"/>
    </row>
    <row r="1023" spans="2:22" x14ac:dyDescent="0.25">
      <c r="B1023" s="247">
        <v>11</v>
      </c>
      <c r="C1023" s="247">
        <v>25</v>
      </c>
      <c r="D1023" s="247">
        <v>11</v>
      </c>
      <c r="E1023" s="247">
        <v>25</v>
      </c>
      <c r="F1023" s="247">
        <f t="shared" ref="F1023:F1027" si="110">E1023-D1023+1</f>
        <v>15</v>
      </c>
      <c r="G1023" s="246">
        <v>2.5</v>
      </c>
      <c r="H1023" s="247"/>
      <c r="I1023" s="246"/>
      <c r="J1023" s="246"/>
      <c r="K1023" s="246"/>
      <c r="L1023" s="246"/>
      <c r="M1023" s="246"/>
      <c r="N1023" s="246"/>
      <c r="O1023" s="246"/>
      <c r="P1023" s="246"/>
      <c r="Q1023" s="246"/>
      <c r="R1023" s="246"/>
      <c r="S1023" s="246"/>
      <c r="T1023" s="246"/>
      <c r="U1023" s="246"/>
      <c r="V1023" s="246"/>
    </row>
    <row r="1024" spans="2:22" x14ac:dyDescent="0.25">
      <c r="B1024" s="247">
        <v>26</v>
      </c>
      <c r="C1024" s="247">
        <v>55</v>
      </c>
      <c r="D1024" s="247">
        <v>26</v>
      </c>
      <c r="E1024" s="247">
        <v>55</v>
      </c>
      <c r="F1024" s="247">
        <f t="shared" si="110"/>
        <v>30</v>
      </c>
      <c r="G1024" s="246">
        <v>3</v>
      </c>
      <c r="H1024" s="247"/>
      <c r="I1024" s="246"/>
      <c r="J1024" s="246"/>
      <c r="K1024" s="246"/>
      <c r="L1024" s="246"/>
      <c r="M1024" s="246"/>
      <c r="N1024" s="246"/>
      <c r="O1024" s="246"/>
      <c r="P1024" s="246"/>
      <c r="Q1024" s="246"/>
      <c r="R1024" s="246"/>
      <c r="S1024" s="246"/>
      <c r="T1024" s="246"/>
      <c r="U1024" s="246"/>
      <c r="V1024" s="246"/>
    </row>
    <row r="1025" spans="2:22" x14ac:dyDescent="0.25">
      <c r="B1025" s="247">
        <v>56</v>
      </c>
      <c r="C1025" s="247">
        <v>85</v>
      </c>
      <c r="D1025" s="247">
        <v>56</v>
      </c>
      <c r="E1025" s="247">
        <v>85</v>
      </c>
      <c r="F1025" s="247">
        <f t="shared" si="110"/>
        <v>30</v>
      </c>
      <c r="G1025" s="246">
        <v>3</v>
      </c>
      <c r="H1025" s="247"/>
      <c r="I1025" s="246"/>
      <c r="J1025" s="246"/>
      <c r="K1025" s="246"/>
      <c r="L1025" s="246"/>
      <c r="M1025" s="246"/>
      <c r="N1025" s="246"/>
      <c r="O1025" s="246"/>
      <c r="P1025" s="246"/>
      <c r="Q1025" s="246"/>
      <c r="R1025" s="246"/>
      <c r="S1025" s="246"/>
      <c r="T1025" s="246"/>
      <c r="U1025" s="246"/>
      <c r="V1025" s="246"/>
    </row>
    <row r="1026" spans="2:22" x14ac:dyDescent="0.25">
      <c r="B1026" s="247">
        <v>86</v>
      </c>
      <c r="C1026" s="247">
        <v>100</v>
      </c>
      <c r="D1026" s="247">
        <v>86</v>
      </c>
      <c r="E1026" s="247">
        <v>100</v>
      </c>
      <c r="F1026" s="247">
        <f t="shared" si="110"/>
        <v>15</v>
      </c>
      <c r="G1026" s="246">
        <v>3.5</v>
      </c>
      <c r="H1026" s="247"/>
      <c r="I1026" s="246"/>
      <c r="J1026" s="246"/>
      <c r="K1026" s="246"/>
      <c r="L1026" s="246"/>
      <c r="M1026" s="246"/>
      <c r="N1026" s="246"/>
      <c r="O1026" s="246"/>
      <c r="P1026" s="246"/>
      <c r="Q1026" s="246"/>
      <c r="R1026" s="246"/>
      <c r="S1026" s="246"/>
      <c r="T1026" s="246"/>
      <c r="U1026" s="246"/>
      <c r="V1026" s="246"/>
    </row>
    <row r="1027" spans="2:22" x14ac:dyDescent="0.25">
      <c r="B1027" s="247">
        <v>101</v>
      </c>
      <c r="C1027" s="247">
        <v>110</v>
      </c>
      <c r="D1027" s="247">
        <v>101</v>
      </c>
      <c r="E1027" s="247">
        <v>104</v>
      </c>
      <c r="F1027" s="247">
        <f t="shared" si="110"/>
        <v>4</v>
      </c>
      <c r="G1027" s="246">
        <v>3.5</v>
      </c>
      <c r="H1027" s="247"/>
      <c r="I1027" s="246"/>
      <c r="J1027" s="246"/>
      <c r="K1027" s="246"/>
      <c r="L1027" s="246"/>
      <c r="M1027" s="246"/>
      <c r="N1027" s="246"/>
      <c r="O1027" s="246"/>
      <c r="P1027" s="246"/>
      <c r="Q1027" s="246"/>
      <c r="R1027" s="246"/>
      <c r="S1027" s="246"/>
      <c r="T1027" s="246"/>
      <c r="U1027" s="246"/>
      <c r="V1027" s="246"/>
    </row>
    <row r="1028" spans="2:22" x14ac:dyDescent="0.25">
      <c r="B1028" s="247">
        <v>111</v>
      </c>
      <c r="C1028" s="247">
        <v>120</v>
      </c>
      <c r="D1028" s="247"/>
      <c r="E1028" s="247"/>
      <c r="F1028" s="247"/>
      <c r="G1028" s="246">
        <v>3.5</v>
      </c>
      <c r="H1028" s="247"/>
      <c r="I1028" s="246"/>
      <c r="J1028" s="246"/>
      <c r="K1028" s="246"/>
      <c r="L1028" s="246"/>
      <c r="M1028" s="246"/>
      <c r="N1028" s="246"/>
      <c r="O1028" s="246"/>
      <c r="P1028" s="246"/>
      <c r="Q1028" s="246"/>
      <c r="R1028" s="246"/>
      <c r="S1028" s="246"/>
      <c r="T1028" s="246"/>
      <c r="U1028" s="246"/>
      <c r="V1028" s="246"/>
    </row>
    <row r="1029" spans="2:22" x14ac:dyDescent="0.25">
      <c r="B1029" s="246"/>
      <c r="C1029" s="246"/>
      <c r="D1029" s="246"/>
      <c r="E1029" s="246"/>
      <c r="F1029" s="246"/>
      <c r="G1029" s="246"/>
      <c r="H1029" s="246"/>
      <c r="I1029" s="246"/>
      <c r="J1029" s="246"/>
      <c r="K1029" s="246"/>
      <c r="L1029" s="246"/>
      <c r="M1029" s="246"/>
      <c r="N1029" s="246"/>
      <c r="O1029" s="246"/>
      <c r="P1029" s="246"/>
      <c r="Q1029" s="246"/>
      <c r="R1029" s="246"/>
      <c r="S1029" s="246"/>
      <c r="T1029" s="246"/>
      <c r="U1029" s="246"/>
      <c r="V1029" s="246"/>
    </row>
    <row r="1030" spans="2:22" x14ac:dyDescent="0.25">
      <c r="B1030" s="386" t="s">
        <v>322</v>
      </c>
      <c r="C1030" s="386"/>
      <c r="D1030" s="386"/>
      <c r="E1030" s="386"/>
      <c r="F1030" s="386"/>
      <c r="G1030" s="247"/>
      <c r="H1030" s="247"/>
      <c r="I1030" s="246"/>
      <c r="J1030" s="246"/>
      <c r="K1030" s="246"/>
      <c r="L1030" s="246"/>
      <c r="M1030" s="246"/>
      <c r="N1030" s="246"/>
      <c r="O1030" s="246"/>
      <c r="P1030" s="246"/>
      <c r="Q1030" s="246"/>
      <c r="R1030" s="246"/>
      <c r="S1030" s="246"/>
      <c r="T1030" s="246"/>
      <c r="U1030" s="246"/>
      <c r="V1030" s="246"/>
    </row>
    <row r="1031" spans="2:22" x14ac:dyDescent="0.25">
      <c r="B1031" s="386" t="s">
        <v>254</v>
      </c>
      <c r="C1031" s="386"/>
      <c r="D1031" s="386" t="s">
        <v>254</v>
      </c>
      <c r="E1031" s="386"/>
      <c r="F1031" s="192" t="s">
        <v>313</v>
      </c>
      <c r="G1031" s="247" t="s">
        <v>314</v>
      </c>
      <c r="H1031" s="247" t="s">
        <v>316</v>
      </c>
      <c r="I1031" s="246"/>
      <c r="J1031" s="246"/>
      <c r="K1031" s="246"/>
      <c r="L1031" s="246"/>
      <c r="M1031" s="246"/>
      <c r="N1031" s="246"/>
      <c r="O1031" s="246"/>
      <c r="P1031" s="246"/>
      <c r="Q1031" s="246"/>
      <c r="R1031" s="246"/>
      <c r="S1031" s="246"/>
      <c r="T1031" s="246"/>
      <c r="U1031" s="246"/>
      <c r="V1031" s="246"/>
    </row>
    <row r="1032" spans="2:22" x14ac:dyDescent="0.25">
      <c r="B1032" s="247">
        <v>0</v>
      </c>
      <c r="C1032" s="247">
        <v>10</v>
      </c>
      <c r="D1032" s="247">
        <v>5</v>
      </c>
      <c r="E1032" s="247">
        <v>10</v>
      </c>
      <c r="F1032" s="247">
        <f>E1032-D1032+1</f>
        <v>6</v>
      </c>
      <c r="G1032" s="246">
        <v>2</v>
      </c>
      <c r="H1032" s="247">
        <f>(F1032*G1032+F1033*G1033+F1034*G1034+F1035*G1035+F1036*G1036+F1037*G1037)/100</f>
        <v>2.9950000000000001</v>
      </c>
      <c r="I1032" s="246"/>
      <c r="J1032" s="246"/>
      <c r="K1032" s="246"/>
      <c r="L1032" s="246"/>
      <c r="M1032" s="246"/>
      <c r="N1032" s="246"/>
      <c r="O1032" s="246"/>
      <c r="P1032" s="246"/>
      <c r="Q1032" s="246"/>
      <c r="R1032" s="246"/>
      <c r="S1032" s="246"/>
      <c r="T1032" s="246"/>
      <c r="U1032" s="246"/>
      <c r="V1032" s="246"/>
    </row>
    <row r="1033" spans="2:22" x14ac:dyDescent="0.25">
      <c r="B1033" s="247">
        <v>11</v>
      </c>
      <c r="C1033" s="247">
        <v>25</v>
      </c>
      <c r="D1033" s="247">
        <v>11</v>
      </c>
      <c r="E1033" s="247">
        <v>25</v>
      </c>
      <c r="F1033" s="247">
        <f t="shared" ref="F1033:F1037" si="111">E1033-D1033+1</f>
        <v>15</v>
      </c>
      <c r="G1033" s="246">
        <v>2.5</v>
      </c>
      <c r="H1033" s="247"/>
      <c r="I1033" s="246"/>
      <c r="J1033" s="246"/>
      <c r="K1033" s="246"/>
      <c r="L1033" s="246"/>
      <c r="M1033" s="246"/>
      <c r="N1033" s="246"/>
      <c r="O1033" s="246"/>
      <c r="P1033" s="246"/>
      <c r="Q1033" s="246"/>
      <c r="R1033" s="246"/>
      <c r="S1033" s="246"/>
      <c r="T1033" s="246"/>
      <c r="U1033" s="246"/>
      <c r="V1033" s="246"/>
    </row>
    <row r="1034" spans="2:22" x14ac:dyDescent="0.25">
      <c r="B1034" s="247">
        <v>26</v>
      </c>
      <c r="C1034" s="247">
        <v>55</v>
      </c>
      <c r="D1034" s="247">
        <v>26</v>
      </c>
      <c r="E1034" s="247">
        <v>55</v>
      </c>
      <c r="F1034" s="247">
        <f t="shared" si="111"/>
        <v>30</v>
      </c>
      <c r="G1034" s="246">
        <v>3</v>
      </c>
      <c r="H1034" s="247"/>
      <c r="I1034" s="246"/>
      <c r="J1034" s="246"/>
      <c r="K1034" s="246"/>
      <c r="L1034" s="246"/>
      <c r="M1034" s="246"/>
      <c r="N1034" s="246"/>
      <c r="O1034" s="246"/>
      <c r="P1034" s="246"/>
      <c r="Q1034" s="246"/>
      <c r="R1034" s="246"/>
      <c r="S1034" s="246"/>
      <c r="T1034" s="246"/>
      <c r="U1034" s="246"/>
      <c r="V1034" s="246"/>
    </row>
    <row r="1035" spans="2:22" x14ac:dyDescent="0.25">
      <c r="B1035" s="247">
        <v>56</v>
      </c>
      <c r="C1035" s="247">
        <v>85</v>
      </c>
      <c r="D1035" s="247">
        <v>56</v>
      </c>
      <c r="E1035" s="247">
        <v>85</v>
      </c>
      <c r="F1035" s="247">
        <f t="shared" si="111"/>
        <v>30</v>
      </c>
      <c r="G1035" s="246">
        <v>3</v>
      </c>
      <c r="H1035" s="247"/>
      <c r="I1035" s="246"/>
      <c r="J1035" s="246"/>
      <c r="K1035" s="246"/>
      <c r="L1035" s="246"/>
      <c r="M1035" s="246"/>
      <c r="N1035" s="246"/>
      <c r="O1035" s="246"/>
      <c r="P1035" s="246"/>
      <c r="Q1035" s="246"/>
      <c r="R1035" s="246"/>
      <c r="S1035" s="246"/>
      <c r="T1035" s="246"/>
      <c r="U1035" s="246"/>
      <c r="V1035" s="246"/>
    </row>
    <row r="1036" spans="2:22" x14ac:dyDescent="0.25">
      <c r="B1036" s="247">
        <v>86</v>
      </c>
      <c r="C1036" s="247">
        <v>100</v>
      </c>
      <c r="D1036" s="247">
        <v>86</v>
      </c>
      <c r="E1036" s="247">
        <v>100</v>
      </c>
      <c r="F1036" s="247">
        <f t="shared" si="111"/>
        <v>15</v>
      </c>
      <c r="G1036" s="246">
        <v>3.5</v>
      </c>
      <c r="H1036" s="247"/>
      <c r="I1036" s="246"/>
      <c r="J1036" s="246"/>
      <c r="K1036" s="246"/>
      <c r="L1036" s="246"/>
      <c r="M1036" s="246"/>
      <c r="N1036" s="246"/>
      <c r="O1036" s="246"/>
      <c r="P1036" s="246"/>
      <c r="Q1036" s="246"/>
      <c r="R1036" s="246"/>
      <c r="S1036" s="246"/>
      <c r="T1036" s="246"/>
      <c r="U1036" s="246"/>
      <c r="V1036" s="246"/>
    </row>
    <row r="1037" spans="2:22" x14ac:dyDescent="0.25">
      <c r="B1037" s="247">
        <v>101</v>
      </c>
      <c r="C1037" s="247">
        <v>110</v>
      </c>
      <c r="D1037" s="247">
        <v>101</v>
      </c>
      <c r="E1037" s="247">
        <v>105</v>
      </c>
      <c r="F1037" s="247">
        <f t="shared" si="111"/>
        <v>5</v>
      </c>
      <c r="G1037" s="246">
        <v>3.5</v>
      </c>
      <c r="H1037" s="247"/>
      <c r="I1037" s="246"/>
      <c r="J1037" s="246"/>
      <c r="K1037" s="246"/>
      <c r="L1037" s="246"/>
      <c r="M1037" s="246"/>
      <c r="N1037" s="246"/>
      <c r="O1037" s="246"/>
      <c r="P1037" s="246"/>
      <c r="Q1037" s="246"/>
      <c r="R1037" s="246"/>
      <c r="S1037" s="246"/>
      <c r="T1037" s="246"/>
      <c r="U1037" s="246"/>
      <c r="V1037" s="246"/>
    </row>
    <row r="1038" spans="2:22" x14ac:dyDescent="0.25">
      <c r="B1038" s="247">
        <v>111</v>
      </c>
      <c r="C1038" s="247">
        <v>120</v>
      </c>
      <c r="D1038" s="247"/>
      <c r="E1038" s="247"/>
      <c r="F1038" s="247"/>
      <c r="G1038" s="246">
        <v>3.5</v>
      </c>
      <c r="H1038" s="247"/>
      <c r="I1038" s="246"/>
      <c r="J1038" s="246"/>
      <c r="K1038" s="246"/>
      <c r="L1038" s="246"/>
      <c r="M1038" s="246"/>
      <c r="N1038" s="246"/>
      <c r="O1038" s="246"/>
      <c r="P1038" s="246"/>
      <c r="Q1038" s="246"/>
      <c r="R1038" s="246"/>
      <c r="S1038" s="246"/>
      <c r="T1038" s="246"/>
      <c r="U1038" s="246"/>
      <c r="V1038" s="246"/>
    </row>
    <row r="1039" spans="2:22" x14ac:dyDescent="0.25">
      <c r="B1039" s="246"/>
      <c r="C1039" s="246"/>
      <c r="D1039" s="246"/>
      <c r="E1039" s="246"/>
      <c r="F1039" s="246"/>
      <c r="G1039" s="246"/>
      <c r="H1039" s="246"/>
      <c r="I1039" s="246"/>
      <c r="J1039" s="246"/>
      <c r="K1039" s="246"/>
      <c r="L1039" s="246"/>
      <c r="M1039" s="246"/>
      <c r="N1039" s="246"/>
      <c r="O1039" s="246"/>
      <c r="P1039" s="246"/>
      <c r="Q1039" s="246"/>
      <c r="R1039" s="246"/>
      <c r="S1039" s="246"/>
      <c r="T1039" s="246"/>
      <c r="U1039" s="246"/>
      <c r="V1039" s="246"/>
    </row>
    <row r="1040" spans="2:22" x14ac:dyDescent="0.25">
      <c r="B1040" s="386" t="s">
        <v>323</v>
      </c>
      <c r="C1040" s="386"/>
      <c r="D1040" s="386"/>
      <c r="E1040" s="386"/>
      <c r="F1040" s="386"/>
      <c r="G1040" s="247"/>
      <c r="H1040" s="247"/>
      <c r="I1040" s="246"/>
      <c r="J1040" s="246"/>
      <c r="K1040" s="246"/>
      <c r="L1040" s="246"/>
      <c r="M1040" s="246"/>
      <c r="N1040" s="246"/>
      <c r="O1040" s="246"/>
      <c r="P1040" s="246"/>
      <c r="Q1040" s="246"/>
      <c r="R1040" s="246"/>
      <c r="S1040" s="246"/>
      <c r="T1040" s="246"/>
      <c r="U1040" s="246"/>
      <c r="V1040" s="246"/>
    </row>
    <row r="1041" spans="2:22" x14ac:dyDescent="0.25">
      <c r="B1041" s="386" t="s">
        <v>254</v>
      </c>
      <c r="C1041" s="386"/>
      <c r="D1041" s="386" t="s">
        <v>254</v>
      </c>
      <c r="E1041" s="386"/>
      <c r="F1041" s="192" t="s">
        <v>313</v>
      </c>
      <c r="G1041" s="247" t="s">
        <v>314</v>
      </c>
      <c r="H1041" s="247" t="s">
        <v>316</v>
      </c>
      <c r="I1041" s="246"/>
      <c r="J1041" s="246"/>
      <c r="K1041" s="246"/>
      <c r="L1041" s="246"/>
      <c r="M1041" s="246"/>
      <c r="N1041" s="246"/>
      <c r="O1041" s="246"/>
      <c r="P1041" s="246"/>
      <c r="Q1041" s="246"/>
      <c r="R1041" s="246"/>
      <c r="S1041" s="246"/>
      <c r="T1041" s="246"/>
      <c r="U1041" s="246"/>
      <c r="V1041" s="246"/>
    </row>
    <row r="1042" spans="2:22" x14ac:dyDescent="0.25">
      <c r="B1042" s="247">
        <v>0</v>
      </c>
      <c r="C1042" s="247">
        <v>10</v>
      </c>
      <c r="D1042" s="247">
        <v>6</v>
      </c>
      <c r="E1042" s="247">
        <v>10</v>
      </c>
      <c r="F1042" s="247">
        <f>E1042-D1042+1</f>
        <v>5</v>
      </c>
      <c r="G1042" s="246">
        <v>2</v>
      </c>
      <c r="H1042" s="247">
        <f>(F1042*G1042+F1043*G1043+F1044*G1044+F1045*G1045+F1046*G1046+F1047*G1047)/100</f>
        <v>3.01</v>
      </c>
      <c r="I1042" s="246"/>
      <c r="J1042" s="246"/>
      <c r="K1042" s="246"/>
      <c r="L1042" s="246"/>
      <c r="M1042" s="246"/>
      <c r="N1042" s="246"/>
      <c r="O1042" s="246"/>
      <c r="P1042" s="246"/>
      <c r="Q1042" s="246"/>
      <c r="R1042" s="246"/>
      <c r="S1042" s="246"/>
      <c r="T1042" s="246"/>
      <c r="U1042" s="246"/>
      <c r="V1042" s="246"/>
    </row>
    <row r="1043" spans="2:22" x14ac:dyDescent="0.25">
      <c r="B1043" s="247">
        <v>11</v>
      </c>
      <c r="C1043" s="247">
        <v>25</v>
      </c>
      <c r="D1043" s="247">
        <v>11</v>
      </c>
      <c r="E1043" s="247">
        <v>25</v>
      </c>
      <c r="F1043" s="247">
        <f t="shared" ref="F1043:F1047" si="112">E1043-D1043+1</f>
        <v>15</v>
      </c>
      <c r="G1043" s="246">
        <v>2.5</v>
      </c>
      <c r="H1043" s="247"/>
      <c r="I1043" s="246"/>
      <c r="J1043" s="246"/>
      <c r="K1043" s="246"/>
      <c r="L1043" s="246"/>
      <c r="M1043" s="246"/>
      <c r="N1043" s="246"/>
      <c r="O1043" s="246"/>
      <c r="P1043" s="246"/>
      <c r="Q1043" s="246"/>
      <c r="R1043" s="246"/>
      <c r="S1043" s="246"/>
      <c r="T1043" s="246"/>
      <c r="U1043" s="246"/>
      <c r="V1043" s="246"/>
    </row>
    <row r="1044" spans="2:22" x14ac:dyDescent="0.25">
      <c r="B1044" s="247">
        <v>26</v>
      </c>
      <c r="C1044" s="247">
        <v>55</v>
      </c>
      <c r="D1044" s="247">
        <v>26</v>
      </c>
      <c r="E1044" s="247">
        <v>55</v>
      </c>
      <c r="F1044" s="247">
        <f t="shared" si="112"/>
        <v>30</v>
      </c>
      <c r="G1044" s="246">
        <v>3</v>
      </c>
      <c r="H1044" s="247"/>
      <c r="I1044" s="246"/>
      <c r="J1044" s="246"/>
      <c r="K1044" s="246"/>
      <c r="L1044" s="246"/>
      <c r="M1044" s="246"/>
      <c r="N1044" s="246"/>
      <c r="O1044" s="246"/>
      <c r="P1044" s="246"/>
      <c r="Q1044" s="246"/>
      <c r="R1044" s="246"/>
      <c r="S1044" s="246"/>
      <c r="T1044" s="246"/>
      <c r="U1044" s="246"/>
      <c r="V1044" s="246"/>
    </row>
    <row r="1045" spans="2:22" x14ac:dyDescent="0.25">
      <c r="B1045" s="247">
        <v>56</v>
      </c>
      <c r="C1045" s="247">
        <v>85</v>
      </c>
      <c r="D1045" s="247">
        <v>56</v>
      </c>
      <c r="E1045" s="247">
        <v>85</v>
      </c>
      <c r="F1045" s="247">
        <f t="shared" si="112"/>
        <v>30</v>
      </c>
      <c r="G1045" s="246">
        <v>3</v>
      </c>
      <c r="H1045" s="247"/>
      <c r="I1045" s="246"/>
      <c r="J1045" s="246"/>
      <c r="K1045" s="246"/>
      <c r="L1045" s="246"/>
      <c r="M1045" s="246"/>
      <c r="N1045" s="246"/>
      <c r="O1045" s="246"/>
      <c r="P1045" s="246"/>
      <c r="Q1045" s="246"/>
      <c r="R1045" s="246"/>
      <c r="S1045" s="246"/>
      <c r="T1045" s="246"/>
      <c r="U1045" s="246"/>
      <c r="V1045" s="246"/>
    </row>
    <row r="1046" spans="2:22" x14ac:dyDescent="0.25">
      <c r="B1046" s="247">
        <v>86</v>
      </c>
      <c r="C1046" s="247">
        <v>100</v>
      </c>
      <c r="D1046" s="247">
        <v>86</v>
      </c>
      <c r="E1046" s="247">
        <v>100</v>
      </c>
      <c r="F1046" s="247">
        <f t="shared" si="112"/>
        <v>15</v>
      </c>
      <c r="G1046" s="246">
        <v>3.5</v>
      </c>
      <c r="H1046" s="247"/>
      <c r="I1046" s="246"/>
      <c r="J1046" s="246"/>
      <c r="K1046" s="246"/>
      <c r="L1046" s="246"/>
      <c r="M1046" s="246"/>
      <c r="N1046" s="246"/>
      <c r="O1046" s="246"/>
      <c r="P1046" s="246"/>
      <c r="Q1046" s="246"/>
      <c r="R1046" s="246"/>
      <c r="S1046" s="246"/>
      <c r="T1046" s="246"/>
      <c r="U1046" s="246"/>
      <c r="V1046" s="246"/>
    </row>
    <row r="1047" spans="2:22" x14ac:dyDescent="0.25">
      <c r="B1047" s="247">
        <v>101</v>
      </c>
      <c r="C1047" s="247">
        <v>110</v>
      </c>
      <c r="D1047" s="247">
        <v>101</v>
      </c>
      <c r="E1047" s="247">
        <v>106</v>
      </c>
      <c r="F1047" s="247">
        <f t="shared" si="112"/>
        <v>6</v>
      </c>
      <c r="G1047" s="246">
        <v>3.5</v>
      </c>
      <c r="H1047" s="247"/>
      <c r="I1047" s="246"/>
      <c r="J1047" s="246"/>
      <c r="K1047" s="246"/>
      <c r="L1047" s="246"/>
      <c r="M1047" s="246"/>
      <c r="N1047" s="246"/>
      <c r="O1047" s="246"/>
      <c r="P1047" s="246"/>
      <c r="Q1047" s="246"/>
      <c r="R1047" s="246"/>
      <c r="S1047" s="246"/>
      <c r="T1047" s="246"/>
      <c r="U1047" s="246"/>
      <c r="V1047" s="246"/>
    </row>
    <row r="1048" spans="2:22" x14ac:dyDescent="0.25">
      <c r="B1048" s="247">
        <v>111</v>
      </c>
      <c r="C1048" s="247">
        <v>120</v>
      </c>
      <c r="D1048" s="247"/>
      <c r="E1048" s="247"/>
      <c r="F1048" s="247"/>
      <c r="G1048" s="246">
        <v>3.5</v>
      </c>
      <c r="H1048" s="247"/>
      <c r="I1048" s="246"/>
      <c r="J1048" s="246"/>
      <c r="K1048" s="246"/>
      <c r="L1048" s="246"/>
      <c r="M1048" s="246"/>
      <c r="N1048" s="246"/>
      <c r="O1048" s="246"/>
      <c r="P1048" s="246"/>
      <c r="Q1048" s="246"/>
      <c r="R1048" s="246"/>
      <c r="S1048" s="246"/>
      <c r="T1048" s="246"/>
      <c r="U1048" s="246"/>
      <c r="V1048" s="246"/>
    </row>
    <row r="1049" spans="2:22" x14ac:dyDescent="0.25">
      <c r="B1049" s="246"/>
      <c r="C1049" s="246"/>
      <c r="D1049" s="246"/>
      <c r="E1049" s="246"/>
      <c r="F1049" s="246"/>
      <c r="G1049" s="246"/>
      <c r="H1049" s="246"/>
      <c r="I1049" s="246"/>
      <c r="J1049" s="246"/>
      <c r="K1049" s="246"/>
      <c r="L1049" s="246"/>
      <c r="M1049" s="246"/>
      <c r="N1049" s="246"/>
      <c r="O1049" s="246"/>
      <c r="P1049" s="246"/>
      <c r="Q1049" s="246"/>
      <c r="R1049" s="246"/>
      <c r="S1049" s="246"/>
      <c r="T1049" s="246"/>
      <c r="U1049" s="246"/>
      <c r="V1049" s="246"/>
    </row>
    <row r="1050" spans="2:22" x14ac:dyDescent="0.25">
      <c r="B1050" s="386" t="s">
        <v>324</v>
      </c>
      <c r="C1050" s="386"/>
      <c r="D1050" s="386"/>
      <c r="E1050" s="386"/>
      <c r="F1050" s="386"/>
      <c r="G1050" s="247"/>
      <c r="H1050" s="247"/>
      <c r="I1050" s="246"/>
      <c r="J1050" s="246"/>
      <c r="K1050" s="246"/>
      <c r="L1050" s="246"/>
      <c r="M1050" s="246"/>
      <c r="N1050" s="246"/>
      <c r="O1050" s="246"/>
      <c r="P1050" s="246"/>
      <c r="Q1050" s="246"/>
      <c r="R1050" s="246"/>
      <c r="S1050" s="246"/>
      <c r="T1050" s="246"/>
      <c r="U1050" s="246"/>
      <c r="V1050" s="246"/>
    </row>
    <row r="1051" spans="2:22" x14ac:dyDescent="0.25">
      <c r="B1051" s="386" t="s">
        <v>254</v>
      </c>
      <c r="C1051" s="386"/>
      <c r="D1051" s="386" t="s">
        <v>254</v>
      </c>
      <c r="E1051" s="386"/>
      <c r="F1051" s="192" t="s">
        <v>313</v>
      </c>
      <c r="G1051" s="247" t="s">
        <v>314</v>
      </c>
      <c r="H1051" s="247" t="s">
        <v>316</v>
      </c>
      <c r="I1051" s="246"/>
      <c r="J1051" s="246"/>
      <c r="K1051" s="246"/>
      <c r="L1051" s="246"/>
      <c r="M1051" s="246"/>
      <c r="N1051" s="246"/>
      <c r="O1051" s="246"/>
      <c r="P1051" s="246"/>
      <c r="Q1051" s="246"/>
      <c r="R1051" s="246"/>
      <c r="S1051" s="246"/>
      <c r="T1051" s="246"/>
      <c r="U1051" s="246"/>
      <c r="V1051" s="246"/>
    </row>
    <row r="1052" spans="2:22" x14ac:dyDescent="0.25">
      <c r="B1052" s="247">
        <v>0</v>
      </c>
      <c r="C1052" s="247">
        <v>10</v>
      </c>
      <c r="D1052" s="247">
        <v>7</v>
      </c>
      <c r="E1052" s="247">
        <v>10</v>
      </c>
      <c r="F1052" s="247">
        <f>E1052-D1052+1</f>
        <v>4</v>
      </c>
      <c r="G1052" s="246">
        <v>2</v>
      </c>
      <c r="H1052" s="247">
        <f>(F1052*G1052+F1053*G1053+F1054*G1054+F1055*G1055+F1056*G1056+F1057*G1057)/100</f>
        <v>3.0249999999999999</v>
      </c>
      <c r="I1052" s="246"/>
      <c r="J1052" s="246"/>
      <c r="K1052" s="246"/>
      <c r="L1052" s="246"/>
      <c r="M1052" s="246"/>
      <c r="N1052" s="246"/>
      <c r="O1052" s="246"/>
      <c r="P1052" s="246"/>
      <c r="Q1052" s="246"/>
      <c r="R1052" s="246"/>
      <c r="S1052" s="246"/>
      <c r="T1052" s="246"/>
      <c r="U1052" s="246"/>
      <c r="V1052" s="246"/>
    </row>
    <row r="1053" spans="2:22" x14ac:dyDescent="0.25">
      <c r="B1053" s="247">
        <v>11</v>
      </c>
      <c r="C1053" s="247">
        <v>25</v>
      </c>
      <c r="D1053" s="247">
        <v>11</v>
      </c>
      <c r="E1053" s="247">
        <v>25</v>
      </c>
      <c r="F1053" s="247">
        <f t="shared" ref="F1053:F1057" si="113">E1053-D1053+1</f>
        <v>15</v>
      </c>
      <c r="G1053" s="246">
        <v>2.5</v>
      </c>
      <c r="H1053" s="247"/>
      <c r="I1053" s="246"/>
      <c r="J1053" s="246"/>
      <c r="K1053" s="246"/>
      <c r="L1053" s="246"/>
      <c r="M1053" s="246"/>
      <c r="N1053" s="246"/>
      <c r="O1053" s="246"/>
      <c r="P1053" s="246"/>
      <c r="Q1053" s="246"/>
      <c r="R1053" s="246"/>
      <c r="S1053" s="246"/>
      <c r="T1053" s="246"/>
      <c r="U1053" s="246"/>
      <c r="V1053" s="246"/>
    </row>
    <row r="1054" spans="2:22" x14ac:dyDescent="0.25">
      <c r="B1054" s="247">
        <v>26</v>
      </c>
      <c r="C1054" s="247">
        <v>55</v>
      </c>
      <c r="D1054" s="247">
        <v>26</v>
      </c>
      <c r="E1054" s="247">
        <v>55</v>
      </c>
      <c r="F1054" s="247">
        <f t="shared" si="113"/>
        <v>30</v>
      </c>
      <c r="G1054" s="246">
        <v>3</v>
      </c>
      <c r="H1054" s="247"/>
      <c r="I1054" s="246"/>
      <c r="J1054" s="246"/>
      <c r="K1054" s="246"/>
      <c r="L1054" s="246"/>
      <c r="M1054" s="246"/>
      <c r="N1054" s="246"/>
      <c r="O1054" s="246"/>
      <c r="P1054" s="246"/>
      <c r="Q1054" s="246"/>
      <c r="R1054" s="246"/>
      <c r="S1054" s="246"/>
      <c r="T1054" s="246"/>
      <c r="U1054" s="246"/>
      <c r="V1054" s="246"/>
    </row>
    <row r="1055" spans="2:22" x14ac:dyDescent="0.25">
      <c r="B1055" s="247">
        <v>56</v>
      </c>
      <c r="C1055" s="247">
        <v>85</v>
      </c>
      <c r="D1055" s="247">
        <v>56</v>
      </c>
      <c r="E1055" s="247">
        <v>85</v>
      </c>
      <c r="F1055" s="247">
        <f t="shared" si="113"/>
        <v>30</v>
      </c>
      <c r="G1055" s="246">
        <v>3</v>
      </c>
      <c r="H1055" s="247"/>
      <c r="I1055" s="246"/>
      <c r="J1055" s="246"/>
      <c r="K1055" s="246"/>
      <c r="L1055" s="246"/>
      <c r="M1055" s="246"/>
      <c r="N1055" s="246"/>
      <c r="O1055" s="246"/>
      <c r="P1055" s="246"/>
      <c r="Q1055" s="246"/>
      <c r="R1055" s="246"/>
      <c r="S1055" s="246"/>
      <c r="T1055" s="246"/>
      <c r="U1055" s="246"/>
      <c r="V1055" s="246"/>
    </row>
    <row r="1056" spans="2:22" x14ac:dyDescent="0.25">
      <c r="B1056" s="247">
        <v>86</v>
      </c>
      <c r="C1056" s="247">
        <v>100</v>
      </c>
      <c r="D1056" s="247">
        <v>86</v>
      </c>
      <c r="E1056" s="247">
        <v>100</v>
      </c>
      <c r="F1056" s="247">
        <f t="shared" si="113"/>
        <v>15</v>
      </c>
      <c r="G1056" s="246">
        <v>3.5</v>
      </c>
      <c r="H1056" s="247"/>
      <c r="I1056" s="246"/>
      <c r="J1056" s="246"/>
      <c r="K1056" s="246"/>
      <c r="L1056" s="246"/>
      <c r="M1056" s="246"/>
      <c r="N1056" s="246"/>
      <c r="O1056" s="246"/>
      <c r="P1056" s="246"/>
      <c r="Q1056" s="246"/>
      <c r="R1056" s="246"/>
      <c r="S1056" s="246"/>
      <c r="T1056" s="246"/>
      <c r="U1056" s="246"/>
      <c r="V1056" s="246"/>
    </row>
    <row r="1057" spans="2:22" x14ac:dyDescent="0.25">
      <c r="B1057" s="247">
        <v>101</v>
      </c>
      <c r="C1057" s="247">
        <v>110</v>
      </c>
      <c r="D1057" s="247">
        <v>101</v>
      </c>
      <c r="E1057" s="247">
        <v>107</v>
      </c>
      <c r="F1057" s="247">
        <f t="shared" si="113"/>
        <v>7</v>
      </c>
      <c r="G1057" s="246">
        <v>3.5</v>
      </c>
      <c r="H1057" s="247"/>
      <c r="I1057" s="246"/>
      <c r="J1057" s="246"/>
      <c r="K1057" s="246"/>
      <c r="L1057" s="246"/>
      <c r="M1057" s="246"/>
      <c r="N1057" s="246"/>
      <c r="O1057" s="246"/>
      <c r="P1057" s="246"/>
      <c r="Q1057" s="246"/>
      <c r="R1057" s="246"/>
      <c r="S1057" s="246"/>
      <c r="T1057" s="246"/>
      <c r="U1057" s="246"/>
      <c r="V1057" s="246"/>
    </row>
    <row r="1058" spans="2:22" x14ac:dyDescent="0.25">
      <c r="B1058" s="247">
        <v>111</v>
      </c>
      <c r="C1058" s="247">
        <v>120</v>
      </c>
      <c r="D1058" s="247"/>
      <c r="E1058" s="247"/>
      <c r="F1058" s="247"/>
      <c r="G1058" s="246">
        <v>3.5</v>
      </c>
      <c r="H1058" s="247"/>
      <c r="I1058" s="246"/>
      <c r="J1058" s="246"/>
      <c r="K1058" s="246"/>
      <c r="L1058" s="246"/>
      <c r="M1058" s="246"/>
      <c r="N1058" s="246"/>
      <c r="O1058" s="246"/>
      <c r="P1058" s="246"/>
      <c r="Q1058" s="246"/>
      <c r="R1058" s="246"/>
      <c r="S1058" s="246"/>
      <c r="T1058" s="246"/>
      <c r="U1058" s="246"/>
      <c r="V1058" s="246"/>
    </row>
    <row r="1059" spans="2:22" x14ac:dyDescent="0.25">
      <c r="B1059" s="246"/>
      <c r="C1059" s="246"/>
      <c r="D1059" s="246"/>
      <c r="E1059" s="246"/>
      <c r="F1059" s="246"/>
      <c r="G1059" s="246"/>
      <c r="H1059" s="246"/>
      <c r="I1059" s="246"/>
      <c r="J1059" s="246"/>
      <c r="K1059" s="246"/>
      <c r="L1059" s="246"/>
      <c r="M1059" s="246"/>
      <c r="N1059" s="246"/>
      <c r="O1059" s="246"/>
      <c r="P1059" s="246"/>
      <c r="Q1059" s="246"/>
      <c r="R1059" s="246"/>
      <c r="S1059" s="246"/>
      <c r="T1059" s="246"/>
      <c r="U1059" s="246"/>
      <c r="V1059" s="246"/>
    </row>
    <row r="1060" spans="2:22" x14ac:dyDescent="0.25">
      <c r="B1060" s="386" t="s">
        <v>325</v>
      </c>
      <c r="C1060" s="386"/>
      <c r="D1060" s="386"/>
      <c r="E1060" s="386"/>
      <c r="F1060" s="386"/>
      <c r="G1060" s="247"/>
      <c r="H1060" s="247"/>
      <c r="I1060" s="246"/>
      <c r="J1060" s="246"/>
      <c r="K1060" s="246"/>
      <c r="L1060" s="246"/>
      <c r="M1060" s="246"/>
      <c r="N1060" s="246"/>
      <c r="O1060" s="246"/>
      <c r="P1060" s="246"/>
      <c r="Q1060" s="246"/>
      <c r="R1060" s="246"/>
      <c r="S1060" s="246"/>
      <c r="T1060" s="246"/>
      <c r="U1060" s="246"/>
      <c r="V1060" s="246"/>
    </row>
    <row r="1061" spans="2:22" x14ac:dyDescent="0.25">
      <c r="B1061" s="386" t="s">
        <v>254</v>
      </c>
      <c r="C1061" s="386"/>
      <c r="D1061" s="386" t="s">
        <v>254</v>
      </c>
      <c r="E1061" s="386"/>
      <c r="F1061" s="192" t="s">
        <v>313</v>
      </c>
      <c r="G1061" s="247" t="s">
        <v>314</v>
      </c>
      <c r="H1061" s="247" t="s">
        <v>316</v>
      </c>
      <c r="I1061" s="246"/>
      <c r="J1061" s="246"/>
      <c r="K1061" s="246"/>
      <c r="L1061" s="246"/>
      <c r="M1061" s="246"/>
      <c r="N1061" s="246"/>
      <c r="O1061" s="246"/>
      <c r="P1061" s="246"/>
      <c r="Q1061" s="246"/>
      <c r="R1061" s="246"/>
      <c r="S1061" s="246"/>
      <c r="T1061" s="246"/>
      <c r="U1061" s="246"/>
      <c r="V1061" s="246"/>
    </row>
    <row r="1062" spans="2:22" x14ac:dyDescent="0.25">
      <c r="B1062" s="247">
        <v>0</v>
      </c>
      <c r="C1062" s="247">
        <v>10</v>
      </c>
      <c r="D1062" s="247">
        <v>8</v>
      </c>
      <c r="E1062" s="247">
        <v>10</v>
      </c>
      <c r="F1062" s="247">
        <f>E1062-D1062+1</f>
        <v>3</v>
      </c>
      <c r="G1062" s="246">
        <v>2</v>
      </c>
      <c r="H1062" s="247">
        <f>(F1062*G1062+F1063*G1063+F1064*G1064+F1065*G1065+F1066*G1066+F1067*G1067)/100</f>
        <v>3.04</v>
      </c>
      <c r="I1062" s="246"/>
      <c r="J1062" s="246"/>
      <c r="K1062" s="246"/>
      <c r="L1062" s="246"/>
      <c r="M1062" s="246"/>
      <c r="N1062" s="246"/>
      <c r="O1062" s="246"/>
      <c r="P1062" s="246"/>
      <c r="Q1062" s="246"/>
      <c r="R1062" s="246"/>
      <c r="S1062" s="246"/>
      <c r="T1062" s="246"/>
      <c r="U1062" s="246"/>
      <c r="V1062" s="246"/>
    </row>
    <row r="1063" spans="2:22" x14ac:dyDescent="0.25">
      <c r="B1063" s="247">
        <v>11</v>
      </c>
      <c r="C1063" s="247">
        <v>25</v>
      </c>
      <c r="D1063" s="247">
        <v>11</v>
      </c>
      <c r="E1063" s="247">
        <v>25</v>
      </c>
      <c r="F1063" s="247">
        <f t="shared" ref="F1063:F1067" si="114">E1063-D1063+1</f>
        <v>15</v>
      </c>
      <c r="G1063" s="246">
        <v>2.5</v>
      </c>
      <c r="H1063" s="247"/>
      <c r="I1063" s="246"/>
      <c r="J1063" s="246"/>
      <c r="K1063" s="246"/>
      <c r="L1063" s="246"/>
      <c r="M1063" s="246"/>
      <c r="N1063" s="246"/>
      <c r="O1063" s="246"/>
      <c r="P1063" s="246"/>
      <c r="Q1063" s="246"/>
      <c r="R1063" s="246"/>
      <c r="S1063" s="246"/>
      <c r="T1063" s="246"/>
      <c r="U1063" s="246"/>
      <c r="V1063" s="246"/>
    </row>
    <row r="1064" spans="2:22" x14ac:dyDescent="0.25">
      <c r="B1064" s="247">
        <v>26</v>
      </c>
      <c r="C1064" s="247">
        <v>55</v>
      </c>
      <c r="D1064" s="247">
        <v>26</v>
      </c>
      <c r="E1064" s="247">
        <v>55</v>
      </c>
      <c r="F1064" s="247">
        <f t="shared" si="114"/>
        <v>30</v>
      </c>
      <c r="G1064" s="246">
        <v>3</v>
      </c>
      <c r="H1064" s="247"/>
      <c r="I1064" s="246"/>
      <c r="J1064" s="246"/>
      <c r="K1064" s="246"/>
      <c r="L1064" s="246"/>
      <c r="M1064" s="246"/>
      <c r="N1064" s="246"/>
      <c r="O1064" s="246"/>
      <c r="P1064" s="246"/>
      <c r="Q1064" s="246"/>
      <c r="R1064" s="246"/>
      <c r="S1064" s="246"/>
      <c r="T1064" s="246"/>
      <c r="U1064" s="246"/>
      <c r="V1064" s="246"/>
    </row>
    <row r="1065" spans="2:22" x14ac:dyDescent="0.25">
      <c r="B1065" s="247">
        <v>56</v>
      </c>
      <c r="C1065" s="247">
        <v>85</v>
      </c>
      <c r="D1065" s="247">
        <v>56</v>
      </c>
      <c r="E1065" s="247">
        <v>85</v>
      </c>
      <c r="F1065" s="247">
        <f t="shared" si="114"/>
        <v>30</v>
      </c>
      <c r="G1065" s="246">
        <v>3</v>
      </c>
      <c r="H1065" s="247"/>
      <c r="I1065" s="246"/>
      <c r="J1065" s="246"/>
      <c r="K1065" s="246"/>
      <c r="L1065" s="246"/>
      <c r="M1065" s="246"/>
      <c r="N1065" s="246"/>
      <c r="O1065" s="246"/>
      <c r="P1065" s="246"/>
      <c r="Q1065" s="246"/>
      <c r="R1065" s="246"/>
      <c r="S1065" s="246"/>
      <c r="T1065" s="246"/>
      <c r="U1065" s="246"/>
      <c r="V1065" s="246"/>
    </row>
    <row r="1066" spans="2:22" x14ac:dyDescent="0.25">
      <c r="B1066" s="247">
        <v>86</v>
      </c>
      <c r="C1066" s="247">
        <v>100</v>
      </c>
      <c r="D1066" s="247">
        <v>86</v>
      </c>
      <c r="E1066" s="247">
        <v>100</v>
      </c>
      <c r="F1066" s="247">
        <f t="shared" si="114"/>
        <v>15</v>
      </c>
      <c r="G1066" s="246">
        <v>3.5</v>
      </c>
      <c r="H1066" s="247"/>
      <c r="I1066" s="246"/>
      <c r="J1066" s="246"/>
      <c r="K1066" s="246"/>
      <c r="L1066" s="246"/>
      <c r="M1066" s="246"/>
      <c r="N1066" s="246"/>
      <c r="O1066" s="246"/>
      <c r="P1066" s="246"/>
      <c r="Q1066" s="246"/>
      <c r="R1066" s="246"/>
      <c r="S1066" s="246"/>
      <c r="T1066" s="246"/>
      <c r="U1066" s="246"/>
      <c r="V1066" s="246"/>
    </row>
    <row r="1067" spans="2:22" x14ac:dyDescent="0.25">
      <c r="B1067" s="247">
        <v>101</v>
      </c>
      <c r="C1067" s="247">
        <v>110</v>
      </c>
      <c r="D1067" s="247">
        <v>101</v>
      </c>
      <c r="E1067" s="247">
        <v>108</v>
      </c>
      <c r="F1067" s="247">
        <f t="shared" si="114"/>
        <v>8</v>
      </c>
      <c r="G1067" s="246">
        <v>3.5</v>
      </c>
      <c r="H1067" s="247"/>
      <c r="I1067" s="246"/>
      <c r="J1067" s="246"/>
      <c r="K1067" s="246"/>
      <c r="L1067" s="246"/>
      <c r="M1067" s="246"/>
      <c r="N1067" s="246"/>
      <c r="O1067" s="246"/>
      <c r="P1067" s="246"/>
      <c r="Q1067" s="246"/>
      <c r="R1067" s="246"/>
      <c r="S1067" s="246"/>
      <c r="T1067" s="246"/>
      <c r="U1067" s="246"/>
      <c r="V1067" s="246"/>
    </row>
    <row r="1068" spans="2:22" x14ac:dyDescent="0.25">
      <c r="B1068" s="247">
        <v>111</v>
      </c>
      <c r="C1068" s="247">
        <v>120</v>
      </c>
      <c r="D1068" s="247"/>
      <c r="E1068" s="247"/>
      <c r="F1068" s="247"/>
      <c r="G1068" s="246">
        <v>3.5</v>
      </c>
      <c r="H1068" s="247"/>
      <c r="I1068" s="246"/>
      <c r="J1068" s="246"/>
      <c r="K1068" s="246"/>
      <c r="L1068" s="246"/>
      <c r="M1068" s="246"/>
      <c r="N1068" s="246"/>
      <c r="O1068" s="246"/>
      <c r="P1068" s="246"/>
      <c r="Q1068" s="246"/>
      <c r="R1068" s="246"/>
      <c r="S1068" s="246"/>
      <c r="T1068" s="246"/>
      <c r="U1068" s="246"/>
      <c r="V1068" s="246"/>
    </row>
    <row r="1069" spans="2:22" x14ac:dyDescent="0.25">
      <c r="B1069" s="246"/>
      <c r="C1069" s="246"/>
      <c r="D1069" s="246"/>
      <c r="E1069" s="246"/>
      <c r="F1069" s="246"/>
      <c r="G1069" s="246"/>
      <c r="H1069" s="246"/>
      <c r="I1069" s="246"/>
      <c r="J1069" s="246"/>
      <c r="K1069" s="246"/>
      <c r="L1069" s="246"/>
      <c r="M1069" s="246"/>
      <c r="N1069" s="246"/>
      <c r="O1069" s="246"/>
      <c r="P1069" s="246"/>
      <c r="Q1069" s="246"/>
      <c r="R1069" s="246"/>
      <c r="S1069" s="246"/>
      <c r="T1069" s="246"/>
      <c r="U1069" s="246"/>
      <c r="V1069" s="246"/>
    </row>
    <row r="1070" spans="2:22" x14ac:dyDescent="0.25">
      <c r="B1070" s="386" t="s">
        <v>326</v>
      </c>
      <c r="C1070" s="386"/>
      <c r="D1070" s="386"/>
      <c r="E1070" s="386"/>
      <c r="F1070" s="386"/>
      <c r="G1070" s="247"/>
      <c r="H1070" s="247"/>
      <c r="I1070" s="246"/>
      <c r="J1070" s="246"/>
      <c r="K1070" s="246"/>
      <c r="L1070" s="246"/>
      <c r="M1070" s="246"/>
      <c r="N1070" s="246"/>
      <c r="O1070" s="246"/>
      <c r="P1070" s="246"/>
      <c r="Q1070" s="246"/>
      <c r="R1070" s="246"/>
      <c r="S1070" s="246"/>
      <c r="T1070" s="246"/>
      <c r="U1070" s="246"/>
      <c r="V1070" s="246"/>
    </row>
    <row r="1071" spans="2:22" x14ac:dyDescent="0.25">
      <c r="B1071" s="386" t="s">
        <v>254</v>
      </c>
      <c r="C1071" s="386"/>
      <c r="D1071" s="386" t="s">
        <v>254</v>
      </c>
      <c r="E1071" s="386"/>
      <c r="F1071" s="192" t="s">
        <v>313</v>
      </c>
      <c r="G1071" s="247" t="s">
        <v>314</v>
      </c>
      <c r="H1071" s="247" t="s">
        <v>316</v>
      </c>
      <c r="I1071" s="246"/>
      <c r="J1071" s="246"/>
      <c r="K1071" s="246"/>
      <c r="L1071" s="246"/>
      <c r="M1071" s="246"/>
      <c r="N1071" s="246"/>
      <c r="O1071" s="246"/>
      <c r="P1071" s="246"/>
      <c r="Q1071" s="246"/>
      <c r="R1071" s="246"/>
      <c r="S1071" s="246"/>
      <c r="T1071" s="246"/>
      <c r="U1071" s="246"/>
      <c r="V1071" s="246"/>
    </row>
    <row r="1072" spans="2:22" x14ac:dyDescent="0.25">
      <c r="B1072" s="247">
        <v>0</v>
      </c>
      <c r="C1072" s="247">
        <v>10</v>
      </c>
      <c r="D1072" s="247">
        <v>9</v>
      </c>
      <c r="E1072" s="247">
        <v>10</v>
      </c>
      <c r="F1072" s="247">
        <f>E1072-D1072+1</f>
        <v>2</v>
      </c>
      <c r="G1072" s="246">
        <v>2</v>
      </c>
      <c r="H1072" s="247">
        <f>(F1072*G1072+F1073*G1073+F1074*G1074+F1075*G1075+F1076*G1076+F1077*G1077)/100</f>
        <v>3.0550000000000002</v>
      </c>
      <c r="I1072" s="246"/>
      <c r="J1072" s="246"/>
      <c r="K1072" s="246"/>
      <c r="L1072" s="246"/>
      <c r="M1072" s="246"/>
      <c r="N1072" s="246"/>
      <c r="O1072" s="246"/>
      <c r="P1072" s="246"/>
      <c r="Q1072" s="246"/>
      <c r="R1072" s="246"/>
      <c r="S1072" s="246"/>
      <c r="T1072" s="246"/>
      <c r="U1072" s="246"/>
      <c r="V1072" s="246"/>
    </row>
    <row r="1073" spans="2:22" x14ac:dyDescent="0.25">
      <c r="B1073" s="247">
        <v>11</v>
      </c>
      <c r="C1073" s="247">
        <v>25</v>
      </c>
      <c r="D1073" s="247">
        <v>11</v>
      </c>
      <c r="E1073" s="247">
        <v>25</v>
      </c>
      <c r="F1073" s="247">
        <f t="shared" ref="F1073:F1077" si="115">E1073-D1073+1</f>
        <v>15</v>
      </c>
      <c r="G1073" s="246">
        <v>2.5</v>
      </c>
      <c r="H1073" s="247"/>
      <c r="I1073" s="246"/>
      <c r="J1073" s="246"/>
      <c r="K1073" s="246"/>
      <c r="L1073" s="246"/>
      <c r="M1073" s="246"/>
      <c r="N1073" s="246"/>
      <c r="O1073" s="246"/>
      <c r="P1073" s="246"/>
      <c r="Q1073" s="246"/>
      <c r="R1073" s="246"/>
      <c r="S1073" s="246"/>
      <c r="T1073" s="246"/>
      <c r="U1073" s="246"/>
      <c r="V1073" s="246"/>
    </row>
    <row r="1074" spans="2:22" x14ac:dyDescent="0.25">
      <c r="B1074" s="247">
        <v>26</v>
      </c>
      <c r="C1074" s="247">
        <v>55</v>
      </c>
      <c r="D1074" s="247">
        <v>26</v>
      </c>
      <c r="E1074" s="247">
        <v>55</v>
      </c>
      <c r="F1074" s="247">
        <f t="shared" si="115"/>
        <v>30</v>
      </c>
      <c r="G1074" s="246">
        <v>3</v>
      </c>
      <c r="H1074" s="247"/>
      <c r="I1074" s="246"/>
      <c r="J1074" s="246"/>
      <c r="K1074" s="246"/>
      <c r="L1074" s="246"/>
      <c r="M1074" s="246"/>
      <c r="N1074" s="246"/>
      <c r="O1074" s="246"/>
      <c r="P1074" s="246"/>
      <c r="Q1074" s="246"/>
      <c r="R1074" s="246"/>
      <c r="S1074" s="246"/>
      <c r="T1074" s="246"/>
      <c r="U1074" s="246"/>
      <c r="V1074" s="246"/>
    </row>
    <row r="1075" spans="2:22" x14ac:dyDescent="0.25">
      <c r="B1075" s="247">
        <v>56</v>
      </c>
      <c r="C1075" s="247">
        <v>85</v>
      </c>
      <c r="D1075" s="247">
        <v>56</v>
      </c>
      <c r="E1075" s="247">
        <v>85</v>
      </c>
      <c r="F1075" s="247">
        <f t="shared" si="115"/>
        <v>30</v>
      </c>
      <c r="G1075" s="246">
        <v>3</v>
      </c>
      <c r="H1075" s="247"/>
      <c r="I1075" s="246"/>
      <c r="J1075" s="246"/>
      <c r="K1075" s="246"/>
      <c r="L1075" s="246"/>
      <c r="M1075" s="246"/>
      <c r="N1075" s="246"/>
      <c r="O1075" s="246"/>
      <c r="P1075" s="246"/>
      <c r="Q1075" s="246"/>
      <c r="R1075" s="246"/>
      <c r="S1075" s="246"/>
      <c r="T1075" s="246"/>
      <c r="U1075" s="246"/>
      <c r="V1075" s="246"/>
    </row>
    <row r="1076" spans="2:22" x14ac:dyDescent="0.25">
      <c r="B1076" s="247">
        <v>86</v>
      </c>
      <c r="C1076" s="247">
        <v>100</v>
      </c>
      <c r="D1076" s="247">
        <v>86</v>
      </c>
      <c r="E1076" s="247">
        <v>100</v>
      </c>
      <c r="F1076" s="247">
        <f t="shared" si="115"/>
        <v>15</v>
      </c>
      <c r="G1076" s="246">
        <v>3.5</v>
      </c>
      <c r="H1076" s="247"/>
      <c r="I1076" s="246"/>
      <c r="J1076" s="246"/>
      <c r="K1076" s="246"/>
      <c r="L1076" s="246"/>
      <c r="M1076" s="246"/>
      <c r="N1076" s="246"/>
      <c r="O1076" s="246"/>
      <c r="P1076" s="246"/>
      <c r="Q1076" s="246"/>
      <c r="R1076" s="246"/>
      <c r="S1076" s="246"/>
      <c r="T1076" s="246"/>
      <c r="U1076" s="246"/>
      <c r="V1076" s="246"/>
    </row>
    <row r="1077" spans="2:22" x14ac:dyDescent="0.25">
      <c r="B1077" s="247">
        <v>101</v>
      </c>
      <c r="C1077" s="247">
        <v>110</v>
      </c>
      <c r="D1077" s="247">
        <v>101</v>
      </c>
      <c r="E1077" s="247">
        <v>109</v>
      </c>
      <c r="F1077" s="247">
        <f t="shared" si="115"/>
        <v>9</v>
      </c>
      <c r="G1077" s="246">
        <v>3.5</v>
      </c>
      <c r="H1077" s="247"/>
      <c r="I1077" s="246"/>
      <c r="J1077" s="246"/>
      <c r="K1077" s="246"/>
      <c r="L1077" s="246"/>
      <c r="M1077" s="246"/>
      <c r="N1077" s="246"/>
      <c r="O1077" s="246"/>
      <c r="P1077" s="246"/>
      <c r="Q1077" s="246"/>
      <c r="R1077" s="246"/>
      <c r="S1077" s="246"/>
      <c r="T1077" s="246"/>
      <c r="U1077" s="246"/>
      <c r="V1077" s="246"/>
    </row>
    <row r="1078" spans="2:22" x14ac:dyDescent="0.25">
      <c r="B1078" s="247">
        <v>111</v>
      </c>
      <c r="C1078" s="247">
        <v>120</v>
      </c>
      <c r="D1078" s="247"/>
      <c r="E1078" s="247"/>
      <c r="F1078" s="247"/>
      <c r="G1078" s="246">
        <v>3.5</v>
      </c>
      <c r="H1078" s="247"/>
      <c r="I1078" s="246"/>
      <c r="J1078" s="246"/>
      <c r="K1078" s="246"/>
      <c r="L1078" s="246"/>
      <c r="M1078" s="246"/>
      <c r="N1078" s="246"/>
      <c r="O1078" s="246"/>
      <c r="P1078" s="246"/>
      <c r="Q1078" s="246"/>
      <c r="R1078" s="246"/>
      <c r="S1078" s="246"/>
      <c r="T1078" s="246"/>
      <c r="U1078" s="246"/>
      <c r="V1078" s="246"/>
    </row>
    <row r="1079" spans="2:22" x14ac:dyDescent="0.25">
      <c r="B1079" s="246"/>
      <c r="C1079" s="246"/>
      <c r="D1079" s="246"/>
      <c r="E1079" s="246"/>
      <c r="F1079" s="246"/>
      <c r="G1079" s="246"/>
      <c r="H1079" s="246"/>
      <c r="I1079" s="246"/>
      <c r="J1079" s="246"/>
      <c r="K1079" s="246"/>
      <c r="L1079" s="246"/>
      <c r="M1079" s="246"/>
      <c r="N1079" s="246"/>
      <c r="O1079" s="246"/>
      <c r="P1079" s="246"/>
      <c r="Q1079" s="246"/>
      <c r="R1079" s="246"/>
      <c r="S1079" s="246"/>
      <c r="T1079" s="246"/>
      <c r="U1079" s="246"/>
      <c r="V1079" s="246"/>
    </row>
    <row r="1080" spans="2:22" x14ac:dyDescent="0.25">
      <c r="B1080" s="386" t="s">
        <v>327</v>
      </c>
      <c r="C1080" s="386"/>
      <c r="D1080" s="386"/>
      <c r="E1080" s="386"/>
      <c r="F1080" s="386"/>
      <c r="G1080" s="247"/>
      <c r="H1080" s="247"/>
      <c r="I1080" s="246"/>
      <c r="J1080" s="246"/>
      <c r="K1080" s="246"/>
      <c r="L1080" s="246"/>
      <c r="M1080" s="246"/>
      <c r="N1080" s="246"/>
      <c r="O1080" s="246"/>
      <c r="P1080" s="246"/>
      <c r="Q1080" s="246"/>
      <c r="R1080" s="246"/>
      <c r="S1080" s="246"/>
      <c r="T1080" s="246"/>
      <c r="U1080" s="246"/>
      <c r="V1080" s="246"/>
    </row>
    <row r="1081" spans="2:22" x14ac:dyDescent="0.25">
      <c r="B1081" s="386" t="s">
        <v>254</v>
      </c>
      <c r="C1081" s="386"/>
      <c r="D1081" s="386" t="s">
        <v>254</v>
      </c>
      <c r="E1081" s="386"/>
      <c r="F1081" s="192" t="s">
        <v>313</v>
      </c>
      <c r="G1081" s="247" t="s">
        <v>314</v>
      </c>
      <c r="H1081" s="247" t="s">
        <v>316</v>
      </c>
      <c r="I1081" s="246"/>
      <c r="J1081" s="246"/>
      <c r="K1081" s="246"/>
      <c r="L1081" s="246"/>
      <c r="M1081" s="246"/>
      <c r="N1081" s="246"/>
      <c r="O1081" s="246"/>
      <c r="P1081" s="246"/>
      <c r="Q1081" s="246"/>
      <c r="R1081" s="246"/>
      <c r="S1081" s="246"/>
      <c r="T1081" s="246"/>
      <c r="U1081" s="246"/>
      <c r="V1081" s="246"/>
    </row>
    <row r="1082" spans="2:22" x14ac:dyDescent="0.25">
      <c r="B1082" s="247">
        <v>0</v>
      </c>
      <c r="C1082" s="247">
        <v>10</v>
      </c>
      <c r="D1082" s="247">
        <v>10</v>
      </c>
      <c r="E1082" s="247">
        <v>10</v>
      </c>
      <c r="F1082" s="247">
        <f>E1082-D1082+1</f>
        <v>1</v>
      </c>
      <c r="G1082" s="246">
        <v>2</v>
      </c>
      <c r="H1082" s="247">
        <f>(F1082*G1082+F1083*G1083+F1084*G1084+F1085*G1085+F1086*G1086+F1087*G1087)/100</f>
        <v>3.07</v>
      </c>
      <c r="I1082" s="246"/>
      <c r="J1082" s="246"/>
      <c r="K1082" s="246"/>
      <c r="L1082" s="246"/>
      <c r="M1082" s="246"/>
      <c r="N1082" s="246"/>
      <c r="O1082" s="246"/>
      <c r="P1082" s="246"/>
      <c r="Q1082" s="246"/>
      <c r="R1082" s="246"/>
      <c r="S1082" s="246"/>
      <c r="T1082" s="246"/>
      <c r="U1082" s="246"/>
      <c r="V1082" s="246"/>
    </row>
    <row r="1083" spans="2:22" x14ac:dyDescent="0.25">
      <c r="B1083" s="247">
        <v>11</v>
      </c>
      <c r="C1083" s="247">
        <v>25</v>
      </c>
      <c r="D1083" s="247">
        <v>11</v>
      </c>
      <c r="E1083" s="247">
        <v>25</v>
      </c>
      <c r="F1083" s="247">
        <f t="shared" ref="F1083:F1087" si="116">E1083-D1083+1</f>
        <v>15</v>
      </c>
      <c r="G1083" s="246">
        <v>2.5</v>
      </c>
      <c r="H1083" s="247"/>
      <c r="I1083" s="246"/>
      <c r="J1083" s="246"/>
      <c r="K1083" s="246"/>
      <c r="L1083" s="246"/>
      <c r="M1083" s="246"/>
      <c r="N1083" s="246"/>
      <c r="O1083" s="246"/>
      <c r="P1083" s="246"/>
      <c r="Q1083" s="246"/>
      <c r="R1083" s="246"/>
      <c r="S1083" s="246"/>
      <c r="T1083" s="246"/>
      <c r="U1083" s="246"/>
      <c r="V1083" s="246"/>
    </row>
    <row r="1084" spans="2:22" x14ac:dyDescent="0.25">
      <c r="B1084" s="247">
        <v>26</v>
      </c>
      <c r="C1084" s="247">
        <v>55</v>
      </c>
      <c r="D1084" s="247">
        <v>26</v>
      </c>
      <c r="E1084" s="247">
        <v>55</v>
      </c>
      <c r="F1084" s="247">
        <f t="shared" si="116"/>
        <v>30</v>
      </c>
      <c r="G1084" s="246">
        <v>3</v>
      </c>
      <c r="H1084" s="247"/>
      <c r="I1084" s="246"/>
      <c r="J1084" s="246"/>
      <c r="K1084" s="246"/>
      <c r="L1084" s="246"/>
      <c r="M1084" s="246"/>
      <c r="N1084" s="246"/>
      <c r="O1084" s="246"/>
      <c r="P1084" s="246"/>
      <c r="Q1084" s="246"/>
      <c r="R1084" s="246"/>
      <c r="S1084" s="246"/>
      <c r="T1084" s="246"/>
      <c r="U1084" s="246"/>
      <c r="V1084" s="246"/>
    </row>
    <row r="1085" spans="2:22" x14ac:dyDescent="0.25">
      <c r="B1085" s="247">
        <v>56</v>
      </c>
      <c r="C1085" s="247">
        <v>85</v>
      </c>
      <c r="D1085" s="247">
        <v>56</v>
      </c>
      <c r="E1085" s="247">
        <v>85</v>
      </c>
      <c r="F1085" s="247">
        <f t="shared" si="116"/>
        <v>30</v>
      </c>
      <c r="G1085" s="246">
        <v>3</v>
      </c>
      <c r="H1085" s="247"/>
      <c r="I1085" s="246"/>
      <c r="J1085" s="246"/>
      <c r="K1085" s="246"/>
      <c r="L1085" s="246"/>
      <c r="M1085" s="246"/>
      <c r="N1085" s="246"/>
      <c r="O1085" s="246"/>
      <c r="P1085" s="246"/>
      <c r="Q1085" s="246"/>
      <c r="R1085" s="246"/>
      <c r="S1085" s="246"/>
      <c r="T1085" s="246"/>
      <c r="U1085" s="246"/>
      <c r="V1085" s="246"/>
    </row>
    <row r="1086" spans="2:22" x14ac:dyDescent="0.25">
      <c r="B1086" s="247">
        <v>86</v>
      </c>
      <c r="C1086" s="247">
        <v>100</v>
      </c>
      <c r="D1086" s="247">
        <v>86</v>
      </c>
      <c r="E1086" s="247">
        <v>100</v>
      </c>
      <c r="F1086" s="247">
        <f t="shared" si="116"/>
        <v>15</v>
      </c>
      <c r="G1086" s="246">
        <v>3.5</v>
      </c>
      <c r="H1086" s="247"/>
      <c r="I1086" s="246"/>
      <c r="J1086" s="246"/>
      <c r="K1086" s="246"/>
      <c r="L1086" s="246"/>
      <c r="M1086" s="246"/>
      <c r="N1086" s="246"/>
      <c r="O1086" s="246"/>
      <c r="P1086" s="246"/>
      <c r="Q1086" s="246"/>
      <c r="R1086" s="246"/>
      <c r="S1086" s="246"/>
      <c r="T1086" s="246"/>
      <c r="U1086" s="246"/>
      <c r="V1086" s="246"/>
    </row>
    <row r="1087" spans="2:22" x14ac:dyDescent="0.25">
      <c r="B1087" s="247">
        <v>101</v>
      </c>
      <c r="C1087" s="247">
        <v>110</v>
      </c>
      <c r="D1087" s="247">
        <v>101</v>
      </c>
      <c r="E1087" s="247">
        <v>110</v>
      </c>
      <c r="F1087" s="247">
        <f t="shared" si="116"/>
        <v>10</v>
      </c>
      <c r="G1087" s="246">
        <v>3.5</v>
      </c>
      <c r="H1087" s="247"/>
      <c r="I1087" s="246"/>
      <c r="J1087" s="246"/>
      <c r="K1087" s="246"/>
      <c r="L1087" s="246"/>
      <c r="M1087" s="246"/>
      <c r="N1087" s="246"/>
      <c r="O1087" s="246"/>
      <c r="P1087" s="246"/>
      <c r="Q1087" s="246"/>
      <c r="R1087" s="246"/>
      <c r="S1087" s="246"/>
      <c r="T1087" s="246"/>
      <c r="U1087" s="246"/>
      <c r="V1087" s="246"/>
    </row>
    <row r="1088" spans="2:22" x14ac:dyDescent="0.25">
      <c r="B1088" s="247">
        <v>111</v>
      </c>
      <c r="C1088" s="247">
        <v>120</v>
      </c>
      <c r="D1088" s="247"/>
      <c r="E1088" s="247"/>
      <c r="F1088" s="247"/>
      <c r="G1088" s="246">
        <v>3.5</v>
      </c>
      <c r="H1088" s="247"/>
      <c r="I1088" s="246"/>
      <c r="J1088" s="246"/>
      <c r="K1088" s="246"/>
      <c r="L1088" s="246"/>
      <c r="M1088" s="246"/>
      <c r="N1088" s="246"/>
      <c r="O1088" s="246"/>
      <c r="P1088" s="246"/>
      <c r="Q1088" s="246"/>
      <c r="R1088" s="246"/>
      <c r="S1088" s="246"/>
      <c r="T1088" s="246"/>
      <c r="U1088" s="246"/>
      <c r="V1088" s="246"/>
    </row>
    <row r="1089" spans="2:22" x14ac:dyDescent="0.25">
      <c r="B1089" s="246"/>
      <c r="C1089" s="246"/>
      <c r="D1089" s="246"/>
      <c r="E1089" s="246"/>
      <c r="F1089" s="246"/>
      <c r="G1089" s="246"/>
      <c r="H1089" s="246"/>
      <c r="I1089" s="246"/>
      <c r="J1089" s="246"/>
      <c r="K1089" s="246"/>
      <c r="L1089" s="246"/>
      <c r="M1089" s="246"/>
      <c r="N1089" s="246"/>
      <c r="O1089" s="246"/>
      <c r="P1089" s="246"/>
      <c r="Q1089" s="246"/>
      <c r="R1089" s="246"/>
      <c r="S1089" s="246"/>
      <c r="T1089" s="246"/>
      <c r="U1089" s="246"/>
      <c r="V1089" s="246"/>
    </row>
    <row r="1090" spans="2:22" x14ac:dyDescent="0.25">
      <c r="B1090" s="386" t="s">
        <v>328</v>
      </c>
      <c r="C1090" s="386"/>
      <c r="D1090" s="386"/>
      <c r="E1090" s="386"/>
      <c r="F1090" s="386"/>
      <c r="G1090" s="247"/>
      <c r="H1090" s="247"/>
      <c r="I1090" s="246"/>
      <c r="J1090" s="246"/>
      <c r="K1090" s="246"/>
      <c r="L1090" s="246"/>
      <c r="M1090" s="246"/>
      <c r="N1090" s="246"/>
      <c r="O1090" s="246"/>
      <c r="P1090" s="246"/>
      <c r="Q1090" s="246"/>
      <c r="R1090" s="246"/>
      <c r="S1090" s="246"/>
      <c r="T1090" s="246"/>
      <c r="U1090" s="246"/>
      <c r="V1090" s="246"/>
    </row>
    <row r="1091" spans="2:22" x14ac:dyDescent="0.25">
      <c r="B1091" s="386" t="s">
        <v>254</v>
      </c>
      <c r="C1091" s="386"/>
      <c r="D1091" s="386" t="s">
        <v>254</v>
      </c>
      <c r="E1091" s="386"/>
      <c r="F1091" s="192" t="s">
        <v>313</v>
      </c>
      <c r="G1091" s="247" t="s">
        <v>314</v>
      </c>
      <c r="H1091" s="247" t="s">
        <v>316</v>
      </c>
      <c r="I1091" s="246"/>
      <c r="J1091" s="246"/>
      <c r="K1091" s="246"/>
      <c r="L1091" s="246"/>
      <c r="M1091" s="246"/>
      <c r="N1091" s="246"/>
      <c r="O1091" s="246"/>
      <c r="P1091" s="246"/>
      <c r="Q1091" s="246"/>
      <c r="R1091" s="246"/>
      <c r="S1091" s="246"/>
      <c r="T1091" s="246"/>
      <c r="U1091" s="246"/>
      <c r="V1091" s="246"/>
    </row>
    <row r="1092" spans="2:22" x14ac:dyDescent="0.25">
      <c r="B1092" s="247">
        <v>0</v>
      </c>
      <c r="C1092" s="247">
        <v>10</v>
      </c>
      <c r="D1092" s="247"/>
      <c r="E1092" s="247"/>
      <c r="F1092" s="247">
        <v>0</v>
      </c>
      <c r="G1092" s="246">
        <v>2</v>
      </c>
      <c r="H1092" s="247">
        <f>(F1092*G1092+F1093*G1093+F1094*G1094+F1095*G1095+F1096*G1096+F1097*G1097+F1098*G1098)/100</f>
        <v>3.085</v>
      </c>
      <c r="I1092" s="246"/>
      <c r="J1092" s="246"/>
      <c r="K1092" s="246"/>
      <c r="L1092" s="246"/>
      <c r="M1092" s="246"/>
      <c r="N1092" s="246"/>
      <c r="O1092" s="246"/>
      <c r="P1092" s="246"/>
      <c r="Q1092" s="246"/>
      <c r="R1092" s="246"/>
      <c r="S1092" s="246"/>
      <c r="T1092" s="246"/>
      <c r="U1092" s="246"/>
      <c r="V1092" s="246"/>
    </row>
    <row r="1093" spans="2:22" x14ac:dyDescent="0.25">
      <c r="B1093" s="247">
        <v>11</v>
      </c>
      <c r="C1093" s="247">
        <v>25</v>
      </c>
      <c r="D1093" s="247">
        <v>11</v>
      </c>
      <c r="E1093" s="247">
        <v>25</v>
      </c>
      <c r="F1093" s="247">
        <f t="shared" ref="F1093:F1098" si="117">E1093-D1093+1</f>
        <v>15</v>
      </c>
      <c r="G1093" s="246">
        <v>2.5</v>
      </c>
      <c r="H1093" s="247"/>
      <c r="I1093" s="246"/>
      <c r="J1093" s="246"/>
      <c r="K1093" s="246"/>
      <c r="L1093" s="246"/>
      <c r="M1093" s="246"/>
      <c r="N1093" s="246"/>
      <c r="O1093" s="246"/>
      <c r="P1093" s="246"/>
      <c r="Q1093" s="246"/>
      <c r="R1093" s="246"/>
      <c r="S1093" s="246"/>
      <c r="T1093" s="246"/>
      <c r="U1093" s="246"/>
      <c r="V1093" s="246"/>
    </row>
    <row r="1094" spans="2:22" x14ac:dyDescent="0.25">
      <c r="B1094" s="247">
        <v>26</v>
      </c>
      <c r="C1094" s="247">
        <v>55</v>
      </c>
      <c r="D1094" s="247">
        <v>26</v>
      </c>
      <c r="E1094" s="247">
        <v>55</v>
      </c>
      <c r="F1094" s="247">
        <f t="shared" si="117"/>
        <v>30</v>
      </c>
      <c r="G1094" s="246">
        <v>3</v>
      </c>
      <c r="H1094" s="247"/>
      <c r="I1094" s="246"/>
      <c r="J1094" s="246"/>
      <c r="K1094" s="246"/>
      <c r="L1094" s="246"/>
      <c r="M1094" s="246"/>
      <c r="N1094" s="246"/>
      <c r="O1094" s="246"/>
      <c r="P1094" s="246"/>
      <c r="Q1094" s="246"/>
      <c r="R1094" s="246"/>
      <c r="S1094" s="246"/>
      <c r="T1094" s="246"/>
      <c r="U1094" s="246"/>
      <c r="V1094" s="246"/>
    </row>
    <row r="1095" spans="2:22" x14ac:dyDescent="0.25">
      <c r="B1095" s="247">
        <v>56</v>
      </c>
      <c r="C1095" s="247">
        <v>85</v>
      </c>
      <c r="D1095" s="247">
        <v>56</v>
      </c>
      <c r="E1095" s="247">
        <v>85</v>
      </c>
      <c r="F1095" s="247">
        <f t="shared" si="117"/>
        <v>30</v>
      </c>
      <c r="G1095" s="246">
        <v>3</v>
      </c>
      <c r="H1095" s="247"/>
      <c r="I1095" s="246"/>
      <c r="J1095" s="246"/>
      <c r="K1095" s="246"/>
      <c r="L1095" s="246"/>
      <c r="M1095" s="246"/>
      <c r="N1095" s="246"/>
      <c r="O1095" s="246"/>
      <c r="P1095" s="246"/>
      <c r="Q1095" s="246"/>
      <c r="R1095" s="246"/>
      <c r="S1095" s="246"/>
      <c r="T1095" s="246"/>
      <c r="U1095" s="246"/>
      <c r="V1095" s="246"/>
    </row>
    <row r="1096" spans="2:22" x14ac:dyDescent="0.25">
      <c r="B1096" s="247">
        <v>86</v>
      </c>
      <c r="C1096" s="247">
        <v>100</v>
      </c>
      <c r="D1096" s="247">
        <v>86</v>
      </c>
      <c r="E1096" s="247">
        <v>100</v>
      </c>
      <c r="F1096" s="247">
        <f t="shared" si="117"/>
        <v>15</v>
      </c>
      <c r="G1096" s="246">
        <v>3.5</v>
      </c>
      <c r="H1096" s="247"/>
      <c r="I1096" s="246"/>
      <c r="J1096" s="246"/>
      <c r="K1096" s="246"/>
      <c r="L1096" s="246"/>
      <c r="M1096" s="246"/>
      <c r="N1096" s="246"/>
      <c r="O1096" s="246"/>
      <c r="P1096" s="246"/>
      <c r="Q1096" s="246"/>
      <c r="R1096" s="246"/>
      <c r="S1096" s="246"/>
      <c r="T1096" s="246"/>
      <c r="U1096" s="246"/>
      <c r="V1096" s="246"/>
    </row>
    <row r="1097" spans="2:22" x14ac:dyDescent="0.25">
      <c r="B1097" s="247">
        <v>101</v>
      </c>
      <c r="C1097" s="247">
        <v>110</v>
      </c>
      <c r="D1097" s="247">
        <v>101</v>
      </c>
      <c r="E1097" s="247">
        <v>110</v>
      </c>
      <c r="F1097" s="247">
        <f t="shared" si="117"/>
        <v>10</v>
      </c>
      <c r="G1097" s="246">
        <v>3.5</v>
      </c>
      <c r="H1097" s="247"/>
      <c r="I1097" s="246"/>
      <c r="J1097" s="246"/>
      <c r="K1097" s="246"/>
      <c r="L1097" s="246"/>
      <c r="M1097" s="246"/>
      <c r="N1097" s="246"/>
      <c r="O1097" s="246"/>
      <c r="P1097" s="246"/>
      <c r="Q1097" s="246"/>
      <c r="R1097" s="246"/>
      <c r="S1097" s="246"/>
      <c r="T1097" s="246"/>
      <c r="U1097" s="246"/>
      <c r="V1097" s="246"/>
    </row>
    <row r="1098" spans="2:22" x14ac:dyDescent="0.25">
      <c r="B1098" s="247">
        <v>111</v>
      </c>
      <c r="C1098" s="247">
        <v>120</v>
      </c>
      <c r="D1098" s="247">
        <v>111</v>
      </c>
      <c r="E1098" s="247">
        <v>111</v>
      </c>
      <c r="F1098" s="247">
        <f t="shared" si="117"/>
        <v>1</v>
      </c>
      <c r="G1098" s="246">
        <v>3.5</v>
      </c>
      <c r="H1098" s="247"/>
      <c r="I1098" s="246"/>
      <c r="J1098" s="246"/>
      <c r="K1098" s="246"/>
      <c r="L1098" s="247"/>
      <c r="M1098" s="246"/>
      <c r="N1098" s="246"/>
      <c r="O1098" s="246"/>
      <c r="P1098" s="246"/>
      <c r="Q1098" s="246"/>
      <c r="R1098" s="246"/>
      <c r="S1098" s="246"/>
      <c r="T1098" s="246"/>
      <c r="U1098" s="246"/>
      <c r="V1098" s="246"/>
    </row>
    <row r="1099" spans="2:22" x14ac:dyDescent="0.25">
      <c r="B1099" s="246"/>
      <c r="C1099" s="246"/>
      <c r="D1099" s="246"/>
      <c r="E1099" s="246"/>
      <c r="F1099" s="246"/>
      <c r="G1099" s="246"/>
      <c r="H1099" s="246"/>
      <c r="I1099" s="246"/>
      <c r="J1099" s="246"/>
      <c r="K1099" s="246"/>
      <c r="L1099" s="246"/>
      <c r="M1099" s="246"/>
      <c r="N1099" s="246"/>
      <c r="O1099" s="246"/>
      <c r="P1099" s="246"/>
      <c r="Q1099" s="246"/>
      <c r="R1099" s="246"/>
      <c r="S1099" s="246"/>
      <c r="T1099" s="246"/>
      <c r="U1099" s="246"/>
      <c r="V1099" s="246"/>
    </row>
    <row r="1100" spans="2:22" x14ac:dyDescent="0.25">
      <c r="B1100" s="386" t="s">
        <v>329</v>
      </c>
      <c r="C1100" s="386"/>
      <c r="D1100" s="386"/>
      <c r="E1100" s="386"/>
      <c r="F1100" s="386"/>
      <c r="G1100" s="247"/>
      <c r="H1100" s="247"/>
      <c r="I1100" s="246"/>
      <c r="J1100" s="246"/>
      <c r="K1100" s="246"/>
      <c r="L1100" s="246"/>
      <c r="M1100" s="246"/>
      <c r="N1100" s="246"/>
      <c r="O1100" s="246"/>
      <c r="P1100" s="246"/>
      <c r="Q1100" s="246"/>
      <c r="R1100" s="246"/>
      <c r="S1100" s="246"/>
      <c r="T1100" s="246"/>
      <c r="U1100" s="246"/>
      <c r="V1100" s="246"/>
    </row>
    <row r="1101" spans="2:22" x14ac:dyDescent="0.25">
      <c r="B1101" s="386" t="s">
        <v>254</v>
      </c>
      <c r="C1101" s="386"/>
      <c r="D1101" s="386" t="s">
        <v>254</v>
      </c>
      <c r="E1101" s="386"/>
      <c r="F1101" s="192" t="s">
        <v>313</v>
      </c>
      <c r="G1101" s="247" t="s">
        <v>314</v>
      </c>
      <c r="H1101" s="247" t="s">
        <v>316</v>
      </c>
      <c r="I1101" s="246"/>
      <c r="J1101" s="246"/>
      <c r="K1101" s="246"/>
      <c r="L1101" s="246"/>
      <c r="M1101" s="246"/>
      <c r="N1101" s="246"/>
      <c r="O1101" s="246"/>
      <c r="P1101" s="246"/>
      <c r="Q1101" s="246"/>
      <c r="R1101" s="246"/>
      <c r="S1101" s="246"/>
      <c r="T1101" s="246"/>
      <c r="U1101" s="246"/>
      <c r="V1101" s="246"/>
    </row>
    <row r="1102" spans="2:22" x14ac:dyDescent="0.25">
      <c r="B1102" s="247">
        <v>0</v>
      </c>
      <c r="C1102" s="247">
        <v>10</v>
      </c>
      <c r="D1102" s="247"/>
      <c r="E1102" s="247"/>
      <c r="F1102" s="247">
        <v>0</v>
      </c>
      <c r="G1102" s="246">
        <v>2</v>
      </c>
      <c r="H1102" s="247">
        <f>(F1102*G1102+F1103*G1103+F1104*G1104+F1105*G1105+F1106*G1106+F1107*G1107+F1108*G1108)/100</f>
        <v>3.0950000000000002</v>
      </c>
      <c r="I1102" s="246"/>
      <c r="J1102" s="246"/>
      <c r="K1102" s="246"/>
      <c r="L1102" s="246"/>
      <c r="M1102" s="246"/>
      <c r="N1102" s="246"/>
      <c r="O1102" s="246"/>
      <c r="P1102" s="246"/>
      <c r="Q1102" s="246"/>
      <c r="R1102" s="246"/>
      <c r="S1102" s="246"/>
      <c r="T1102" s="246"/>
      <c r="U1102" s="246"/>
      <c r="V1102" s="246"/>
    </row>
    <row r="1103" spans="2:22" x14ac:dyDescent="0.25">
      <c r="B1103" s="247">
        <v>11</v>
      </c>
      <c r="C1103" s="247">
        <v>25</v>
      </c>
      <c r="D1103" s="247">
        <v>12</v>
      </c>
      <c r="E1103" s="247">
        <v>25</v>
      </c>
      <c r="F1103" s="247">
        <f t="shared" ref="F1103:F1108" si="118">E1103-D1103+1</f>
        <v>14</v>
      </c>
      <c r="G1103" s="246">
        <v>2.5</v>
      </c>
      <c r="H1103" s="247"/>
      <c r="I1103" s="246"/>
      <c r="J1103" s="246"/>
      <c r="K1103" s="246"/>
      <c r="L1103" s="246"/>
      <c r="M1103" s="246"/>
      <c r="N1103" s="246"/>
      <c r="O1103" s="246"/>
      <c r="P1103" s="246"/>
      <c r="Q1103" s="246"/>
      <c r="R1103" s="246"/>
      <c r="S1103" s="246"/>
      <c r="T1103" s="246"/>
      <c r="U1103" s="246"/>
      <c r="V1103" s="246"/>
    </row>
    <row r="1104" spans="2:22" x14ac:dyDescent="0.25">
      <c r="B1104" s="247">
        <v>26</v>
      </c>
      <c r="C1104" s="247">
        <v>55</v>
      </c>
      <c r="D1104" s="247">
        <v>26</v>
      </c>
      <c r="E1104" s="247">
        <v>55</v>
      </c>
      <c r="F1104" s="247">
        <f t="shared" si="118"/>
        <v>30</v>
      </c>
      <c r="G1104" s="246">
        <v>3</v>
      </c>
      <c r="H1104" s="247"/>
      <c r="I1104" s="246"/>
      <c r="J1104" s="246"/>
      <c r="K1104" s="246"/>
      <c r="L1104" s="246"/>
      <c r="M1104" s="246"/>
      <c r="N1104" s="246"/>
      <c r="O1104" s="246"/>
      <c r="P1104" s="246"/>
      <c r="Q1104" s="246"/>
      <c r="R1104" s="246"/>
      <c r="S1104" s="246"/>
      <c r="T1104" s="246"/>
      <c r="U1104" s="246"/>
      <c r="V1104" s="246"/>
    </row>
    <row r="1105" spans="2:22" x14ac:dyDescent="0.25">
      <c r="B1105" s="247">
        <v>56</v>
      </c>
      <c r="C1105" s="247">
        <v>85</v>
      </c>
      <c r="D1105" s="247">
        <v>56</v>
      </c>
      <c r="E1105" s="247">
        <v>85</v>
      </c>
      <c r="F1105" s="247">
        <f t="shared" si="118"/>
        <v>30</v>
      </c>
      <c r="G1105" s="246">
        <v>3</v>
      </c>
      <c r="H1105" s="247"/>
      <c r="I1105" s="246"/>
      <c r="J1105" s="246"/>
      <c r="K1105" s="246"/>
      <c r="L1105" s="246"/>
      <c r="M1105" s="246"/>
      <c r="N1105" s="246"/>
      <c r="O1105" s="246"/>
      <c r="P1105" s="246"/>
      <c r="Q1105" s="246"/>
      <c r="R1105" s="246"/>
      <c r="S1105" s="246"/>
      <c r="T1105" s="246"/>
      <c r="U1105" s="246"/>
      <c r="V1105" s="246"/>
    </row>
    <row r="1106" spans="2:22" x14ac:dyDescent="0.25">
      <c r="B1106" s="247">
        <v>86</v>
      </c>
      <c r="C1106" s="247">
        <v>100</v>
      </c>
      <c r="D1106" s="247">
        <v>86</v>
      </c>
      <c r="E1106" s="247">
        <v>100</v>
      </c>
      <c r="F1106" s="247">
        <f t="shared" si="118"/>
        <v>15</v>
      </c>
      <c r="G1106" s="246">
        <v>3.5</v>
      </c>
      <c r="H1106" s="247"/>
      <c r="I1106" s="246"/>
      <c r="J1106" s="246"/>
      <c r="K1106" s="246"/>
      <c r="L1106" s="246"/>
      <c r="M1106" s="246"/>
      <c r="N1106" s="246"/>
      <c r="O1106" s="246"/>
      <c r="P1106" s="246"/>
      <c r="Q1106" s="246"/>
      <c r="R1106" s="246"/>
      <c r="S1106" s="246"/>
      <c r="T1106" s="246"/>
      <c r="U1106" s="246"/>
      <c r="V1106" s="246"/>
    </row>
    <row r="1107" spans="2:22" x14ac:dyDescent="0.25">
      <c r="B1107" s="247">
        <v>101</v>
      </c>
      <c r="C1107" s="247">
        <v>110</v>
      </c>
      <c r="D1107" s="247">
        <v>101</v>
      </c>
      <c r="E1107" s="247">
        <v>110</v>
      </c>
      <c r="F1107" s="247">
        <f t="shared" si="118"/>
        <v>10</v>
      </c>
      <c r="G1107" s="246">
        <v>3.5</v>
      </c>
      <c r="H1107" s="247"/>
      <c r="I1107" s="246"/>
      <c r="J1107" s="246"/>
      <c r="K1107" s="246"/>
      <c r="L1107" s="246"/>
      <c r="M1107" s="246"/>
      <c r="N1107" s="246"/>
      <c r="O1107" s="246"/>
      <c r="P1107" s="246"/>
      <c r="Q1107" s="246"/>
      <c r="R1107" s="246"/>
      <c r="S1107" s="246"/>
      <c r="T1107" s="246"/>
      <c r="U1107" s="246"/>
      <c r="V1107" s="246"/>
    </row>
    <row r="1108" spans="2:22" x14ac:dyDescent="0.25">
      <c r="B1108" s="247">
        <v>111</v>
      </c>
      <c r="C1108" s="247">
        <v>120</v>
      </c>
      <c r="D1108" s="247">
        <v>111</v>
      </c>
      <c r="E1108" s="247">
        <v>112</v>
      </c>
      <c r="F1108" s="247">
        <f t="shared" si="118"/>
        <v>2</v>
      </c>
      <c r="G1108" s="246">
        <v>3.5</v>
      </c>
      <c r="H1108" s="247"/>
      <c r="I1108" s="246"/>
      <c r="J1108" s="246"/>
      <c r="K1108" s="246"/>
      <c r="L1108" s="246"/>
      <c r="M1108" s="246"/>
      <c r="N1108" s="246"/>
      <c r="O1108" s="246"/>
      <c r="P1108" s="246"/>
      <c r="Q1108" s="246"/>
      <c r="R1108" s="246"/>
      <c r="S1108" s="246"/>
      <c r="T1108" s="246"/>
      <c r="U1108" s="246"/>
      <c r="V1108" s="246"/>
    </row>
    <row r="1109" spans="2:22" x14ac:dyDescent="0.25">
      <c r="B1109" s="246"/>
      <c r="C1109" s="246"/>
      <c r="D1109" s="246"/>
      <c r="E1109" s="246"/>
      <c r="F1109" s="246"/>
      <c r="G1109" s="246"/>
      <c r="H1109" s="246"/>
      <c r="I1109" s="246"/>
      <c r="J1109" s="246"/>
      <c r="K1109" s="246"/>
      <c r="L1109" s="246"/>
      <c r="M1109" s="246"/>
      <c r="N1109" s="246"/>
      <c r="O1109" s="246"/>
      <c r="P1109" s="246"/>
      <c r="Q1109" s="246"/>
      <c r="R1109" s="246"/>
      <c r="S1109" s="246"/>
      <c r="T1109" s="246"/>
      <c r="U1109" s="246"/>
      <c r="V1109" s="246"/>
    </row>
    <row r="1110" spans="2:22" x14ac:dyDescent="0.25">
      <c r="B1110" s="386" t="s">
        <v>330</v>
      </c>
      <c r="C1110" s="386"/>
      <c r="D1110" s="386"/>
      <c r="E1110" s="386"/>
      <c r="F1110" s="386"/>
      <c r="G1110" s="247"/>
      <c r="H1110" s="247"/>
      <c r="I1110" s="246"/>
      <c r="J1110" s="246"/>
      <c r="K1110" s="246"/>
      <c r="L1110" s="246"/>
      <c r="M1110" s="246"/>
      <c r="N1110" s="246"/>
      <c r="O1110" s="246"/>
      <c r="P1110" s="246"/>
      <c r="Q1110" s="246"/>
      <c r="R1110" s="246"/>
      <c r="S1110" s="246"/>
      <c r="T1110" s="246"/>
      <c r="U1110" s="246"/>
      <c r="V1110" s="246"/>
    </row>
    <row r="1111" spans="2:22" x14ac:dyDescent="0.25">
      <c r="B1111" s="386" t="s">
        <v>254</v>
      </c>
      <c r="C1111" s="386"/>
      <c r="D1111" s="386" t="s">
        <v>254</v>
      </c>
      <c r="E1111" s="386"/>
      <c r="F1111" s="192" t="s">
        <v>313</v>
      </c>
      <c r="G1111" s="247" t="s">
        <v>314</v>
      </c>
      <c r="H1111" s="247" t="s">
        <v>316</v>
      </c>
      <c r="I1111" s="246"/>
      <c r="J1111" s="246"/>
      <c r="K1111" s="246"/>
      <c r="L1111" s="246"/>
      <c r="M1111" s="246"/>
      <c r="N1111" s="246"/>
      <c r="O1111" s="246"/>
      <c r="P1111" s="246"/>
      <c r="Q1111" s="246"/>
      <c r="R1111" s="246"/>
      <c r="S1111" s="246"/>
      <c r="T1111" s="246"/>
      <c r="U1111" s="246"/>
      <c r="V1111" s="246"/>
    </row>
    <row r="1112" spans="2:22" x14ac:dyDescent="0.25">
      <c r="B1112" s="247">
        <v>0</v>
      </c>
      <c r="C1112" s="247">
        <v>10</v>
      </c>
      <c r="D1112" s="247"/>
      <c r="E1112" s="247"/>
      <c r="F1112" s="247">
        <v>0</v>
      </c>
      <c r="G1112" s="246">
        <v>2</v>
      </c>
      <c r="H1112" s="247">
        <f>(F1112*G1112+F1113*G1113+F1114*G1114+F1115*G1115+F1116*G1116+F1117*G1117+F1118*G1118)/100</f>
        <v>3.105</v>
      </c>
      <c r="I1112" s="246"/>
      <c r="J1112" s="246"/>
      <c r="K1112" s="246"/>
      <c r="L1112" s="246"/>
      <c r="M1112" s="246"/>
      <c r="N1112" s="246"/>
      <c r="O1112" s="246"/>
      <c r="P1112" s="246"/>
      <c r="Q1112" s="246"/>
      <c r="R1112" s="246"/>
      <c r="S1112" s="246"/>
      <c r="T1112" s="246"/>
      <c r="U1112" s="246"/>
      <c r="V1112" s="246"/>
    </row>
    <row r="1113" spans="2:22" x14ac:dyDescent="0.25">
      <c r="B1113" s="247">
        <v>11</v>
      </c>
      <c r="C1113" s="247">
        <v>25</v>
      </c>
      <c r="D1113" s="247">
        <v>13</v>
      </c>
      <c r="E1113" s="247">
        <v>25</v>
      </c>
      <c r="F1113" s="247">
        <f t="shared" ref="F1113:F1118" si="119">E1113-D1113+1</f>
        <v>13</v>
      </c>
      <c r="G1113" s="246">
        <v>2.5</v>
      </c>
      <c r="H1113" s="247"/>
      <c r="I1113" s="246"/>
      <c r="J1113" s="246"/>
      <c r="K1113" s="246"/>
      <c r="L1113" s="246"/>
      <c r="M1113" s="246"/>
      <c r="N1113" s="246"/>
      <c r="O1113" s="246"/>
      <c r="P1113" s="246"/>
      <c r="Q1113" s="246"/>
      <c r="R1113" s="246"/>
      <c r="S1113" s="246"/>
      <c r="T1113" s="246"/>
      <c r="U1113" s="246"/>
      <c r="V1113" s="246"/>
    </row>
    <row r="1114" spans="2:22" x14ac:dyDescent="0.25">
      <c r="B1114" s="247">
        <v>26</v>
      </c>
      <c r="C1114" s="247">
        <v>55</v>
      </c>
      <c r="D1114" s="247">
        <v>26</v>
      </c>
      <c r="E1114" s="247">
        <v>55</v>
      </c>
      <c r="F1114" s="247">
        <f t="shared" si="119"/>
        <v>30</v>
      </c>
      <c r="G1114" s="246">
        <v>3</v>
      </c>
      <c r="H1114" s="247"/>
      <c r="I1114" s="246"/>
      <c r="J1114" s="246"/>
      <c r="K1114" s="246"/>
      <c r="L1114" s="246"/>
      <c r="M1114" s="246"/>
      <c r="N1114" s="246"/>
      <c r="O1114" s="246"/>
      <c r="P1114" s="246"/>
      <c r="Q1114" s="246"/>
      <c r="R1114" s="246"/>
      <c r="S1114" s="246"/>
      <c r="T1114" s="246"/>
      <c r="U1114" s="246"/>
      <c r="V1114" s="246"/>
    </row>
    <row r="1115" spans="2:22" x14ac:dyDescent="0.25">
      <c r="B1115" s="247">
        <v>56</v>
      </c>
      <c r="C1115" s="247">
        <v>85</v>
      </c>
      <c r="D1115" s="247">
        <v>56</v>
      </c>
      <c r="E1115" s="247">
        <v>85</v>
      </c>
      <c r="F1115" s="247">
        <f t="shared" si="119"/>
        <v>30</v>
      </c>
      <c r="G1115" s="246">
        <v>3</v>
      </c>
      <c r="H1115" s="247"/>
      <c r="I1115" s="246"/>
      <c r="J1115" s="246"/>
      <c r="K1115" s="246"/>
      <c r="L1115" s="246"/>
      <c r="M1115" s="246"/>
      <c r="N1115" s="246"/>
      <c r="O1115" s="246"/>
      <c r="P1115" s="246"/>
      <c r="Q1115" s="246"/>
      <c r="R1115" s="246"/>
      <c r="S1115" s="246"/>
      <c r="T1115" s="246"/>
      <c r="U1115" s="246"/>
      <c r="V1115" s="246"/>
    </row>
    <row r="1116" spans="2:22" x14ac:dyDescent="0.25">
      <c r="B1116" s="247">
        <v>86</v>
      </c>
      <c r="C1116" s="247">
        <v>100</v>
      </c>
      <c r="D1116" s="247">
        <v>86</v>
      </c>
      <c r="E1116" s="247">
        <v>100</v>
      </c>
      <c r="F1116" s="247">
        <f t="shared" si="119"/>
        <v>15</v>
      </c>
      <c r="G1116" s="246">
        <v>3.5</v>
      </c>
      <c r="H1116" s="247"/>
      <c r="I1116" s="246"/>
      <c r="J1116" s="246"/>
      <c r="K1116" s="246"/>
      <c r="L1116" s="246"/>
      <c r="M1116" s="246"/>
      <c r="N1116" s="246"/>
      <c r="O1116" s="246"/>
      <c r="P1116" s="246"/>
      <c r="Q1116" s="246"/>
      <c r="R1116" s="246"/>
      <c r="S1116" s="246"/>
      <c r="T1116" s="246"/>
      <c r="U1116" s="246"/>
      <c r="V1116" s="246"/>
    </row>
    <row r="1117" spans="2:22" x14ac:dyDescent="0.25">
      <c r="B1117" s="247">
        <v>101</v>
      </c>
      <c r="C1117" s="247">
        <v>110</v>
      </c>
      <c r="D1117" s="247">
        <v>101</v>
      </c>
      <c r="E1117" s="247">
        <v>110</v>
      </c>
      <c r="F1117" s="247">
        <f t="shared" si="119"/>
        <v>10</v>
      </c>
      <c r="G1117" s="246">
        <v>3.5</v>
      </c>
      <c r="H1117" s="247"/>
      <c r="I1117" s="246"/>
      <c r="J1117" s="246"/>
      <c r="K1117" s="246"/>
      <c r="L1117" s="246"/>
      <c r="M1117" s="246"/>
      <c r="N1117" s="246"/>
      <c r="O1117" s="246"/>
      <c r="P1117" s="246"/>
      <c r="Q1117" s="246"/>
      <c r="R1117" s="246"/>
      <c r="S1117" s="246"/>
      <c r="T1117" s="246"/>
      <c r="U1117" s="246"/>
      <c r="V1117" s="246"/>
    </row>
    <row r="1118" spans="2:22" x14ac:dyDescent="0.25">
      <c r="B1118" s="247">
        <v>111</v>
      </c>
      <c r="C1118" s="247">
        <v>120</v>
      </c>
      <c r="D1118" s="247">
        <v>111</v>
      </c>
      <c r="E1118" s="247">
        <v>113</v>
      </c>
      <c r="F1118" s="247">
        <f t="shared" si="119"/>
        <v>3</v>
      </c>
      <c r="G1118" s="246">
        <v>3.5</v>
      </c>
      <c r="H1118" s="247"/>
      <c r="I1118" s="246"/>
      <c r="J1118" s="246"/>
      <c r="K1118" s="246"/>
      <c r="L1118" s="246"/>
      <c r="M1118" s="246"/>
      <c r="N1118" s="246"/>
      <c r="O1118" s="246"/>
      <c r="P1118" s="246"/>
      <c r="Q1118" s="246"/>
      <c r="R1118" s="246"/>
      <c r="S1118" s="246"/>
      <c r="T1118" s="246"/>
      <c r="U1118" s="246"/>
      <c r="V1118" s="246"/>
    </row>
    <row r="1119" spans="2:22" x14ac:dyDescent="0.25">
      <c r="B1119" s="246"/>
      <c r="C1119" s="246"/>
      <c r="D1119" s="246"/>
      <c r="E1119" s="246"/>
      <c r="F1119" s="246"/>
      <c r="G1119" s="246"/>
      <c r="H1119" s="246"/>
      <c r="I1119" s="246"/>
      <c r="J1119" s="246"/>
      <c r="K1119" s="246"/>
      <c r="L1119" s="246"/>
      <c r="M1119" s="246"/>
      <c r="N1119" s="246"/>
      <c r="O1119" s="246"/>
      <c r="P1119" s="246"/>
      <c r="Q1119" s="246"/>
      <c r="R1119" s="246"/>
      <c r="S1119" s="246"/>
      <c r="T1119" s="246"/>
      <c r="U1119" s="246"/>
      <c r="V1119" s="246"/>
    </row>
    <row r="1120" spans="2:22" x14ac:dyDescent="0.25">
      <c r="B1120" s="386" t="s">
        <v>331</v>
      </c>
      <c r="C1120" s="386"/>
      <c r="D1120" s="386"/>
      <c r="E1120" s="386"/>
      <c r="F1120" s="386"/>
      <c r="G1120" s="247"/>
      <c r="H1120" s="247"/>
      <c r="I1120" s="246"/>
      <c r="J1120" s="246"/>
      <c r="K1120" s="246"/>
      <c r="L1120" s="246"/>
      <c r="M1120" s="246"/>
      <c r="N1120" s="246"/>
      <c r="O1120" s="246"/>
      <c r="P1120" s="246"/>
      <c r="Q1120" s="246"/>
      <c r="R1120" s="246"/>
      <c r="S1120" s="246"/>
      <c r="T1120" s="246"/>
      <c r="U1120" s="246"/>
      <c r="V1120" s="246"/>
    </row>
    <row r="1121" spans="2:22" x14ac:dyDescent="0.25">
      <c r="B1121" s="386" t="s">
        <v>254</v>
      </c>
      <c r="C1121" s="386"/>
      <c r="D1121" s="386" t="s">
        <v>254</v>
      </c>
      <c r="E1121" s="386"/>
      <c r="F1121" s="192" t="s">
        <v>313</v>
      </c>
      <c r="G1121" s="247" t="s">
        <v>314</v>
      </c>
      <c r="H1121" s="247" t="s">
        <v>316</v>
      </c>
      <c r="I1121" s="246"/>
      <c r="J1121" s="246"/>
      <c r="K1121" s="246"/>
      <c r="L1121" s="246"/>
      <c r="M1121" s="246"/>
      <c r="N1121" s="246"/>
      <c r="O1121" s="246"/>
      <c r="P1121" s="246"/>
      <c r="Q1121" s="246"/>
      <c r="R1121" s="246"/>
      <c r="S1121" s="246"/>
      <c r="T1121" s="246"/>
      <c r="U1121" s="246"/>
      <c r="V1121" s="246"/>
    </row>
    <row r="1122" spans="2:22" x14ac:dyDescent="0.25">
      <c r="B1122" s="247">
        <v>0</v>
      </c>
      <c r="C1122" s="247">
        <v>10</v>
      </c>
      <c r="D1122" s="247"/>
      <c r="E1122" s="247"/>
      <c r="F1122" s="247">
        <v>0</v>
      </c>
      <c r="G1122" s="246">
        <v>2</v>
      </c>
      <c r="H1122" s="247">
        <f>(F1122*G1122+F1123*G1123+F1124*G1124+F1125*G1125+F1126*G1126+F1127*G1127+F1128*G1128)/100</f>
        <v>3.1150000000000002</v>
      </c>
      <c r="I1122" s="246"/>
      <c r="J1122" s="246"/>
      <c r="K1122" s="246"/>
      <c r="L1122" s="246"/>
      <c r="M1122" s="246"/>
      <c r="N1122" s="246"/>
      <c r="O1122" s="246"/>
      <c r="P1122" s="246"/>
      <c r="Q1122" s="246"/>
      <c r="R1122" s="246"/>
      <c r="S1122" s="246"/>
      <c r="T1122" s="246"/>
      <c r="U1122" s="246"/>
      <c r="V1122" s="246"/>
    </row>
    <row r="1123" spans="2:22" x14ac:dyDescent="0.25">
      <c r="B1123" s="247">
        <v>11</v>
      </c>
      <c r="C1123" s="247">
        <v>25</v>
      </c>
      <c r="D1123" s="247">
        <v>14</v>
      </c>
      <c r="E1123" s="247">
        <v>25</v>
      </c>
      <c r="F1123" s="247">
        <f t="shared" ref="F1123:F1128" si="120">E1123-D1123+1</f>
        <v>12</v>
      </c>
      <c r="G1123" s="246">
        <v>2.5</v>
      </c>
      <c r="H1123" s="247"/>
      <c r="I1123" s="246"/>
      <c r="J1123" s="246"/>
      <c r="K1123" s="246"/>
      <c r="L1123" s="246"/>
      <c r="M1123" s="246"/>
      <c r="N1123" s="246"/>
      <c r="O1123" s="246"/>
      <c r="P1123" s="246"/>
      <c r="Q1123" s="246"/>
      <c r="R1123" s="246"/>
      <c r="S1123" s="246"/>
      <c r="T1123" s="246"/>
      <c r="U1123" s="246"/>
      <c r="V1123" s="246"/>
    </row>
    <row r="1124" spans="2:22" x14ac:dyDescent="0.25">
      <c r="B1124" s="247">
        <v>26</v>
      </c>
      <c r="C1124" s="247">
        <v>55</v>
      </c>
      <c r="D1124" s="247">
        <v>26</v>
      </c>
      <c r="E1124" s="247">
        <v>55</v>
      </c>
      <c r="F1124" s="247">
        <f t="shared" si="120"/>
        <v>30</v>
      </c>
      <c r="G1124" s="246">
        <v>3</v>
      </c>
      <c r="H1124" s="247"/>
      <c r="I1124" s="246"/>
      <c r="J1124" s="246"/>
      <c r="K1124" s="246"/>
      <c r="L1124" s="246"/>
      <c r="M1124" s="246"/>
      <c r="N1124" s="246"/>
      <c r="O1124" s="246"/>
      <c r="P1124" s="246"/>
      <c r="Q1124" s="246"/>
      <c r="R1124" s="246"/>
      <c r="S1124" s="246"/>
      <c r="T1124" s="246"/>
      <c r="U1124" s="246"/>
      <c r="V1124" s="246"/>
    </row>
    <row r="1125" spans="2:22" x14ac:dyDescent="0.25">
      <c r="B1125" s="247">
        <v>56</v>
      </c>
      <c r="C1125" s="247">
        <v>85</v>
      </c>
      <c r="D1125" s="247">
        <v>56</v>
      </c>
      <c r="E1125" s="247">
        <v>85</v>
      </c>
      <c r="F1125" s="247">
        <f t="shared" si="120"/>
        <v>30</v>
      </c>
      <c r="G1125" s="246">
        <v>3</v>
      </c>
      <c r="H1125" s="247"/>
      <c r="I1125" s="246"/>
      <c r="J1125" s="246"/>
      <c r="K1125" s="246"/>
      <c r="L1125" s="246"/>
      <c r="M1125" s="246"/>
      <c r="N1125" s="246"/>
      <c r="O1125" s="246"/>
      <c r="P1125" s="246"/>
      <c r="Q1125" s="246"/>
      <c r="R1125" s="246"/>
      <c r="S1125" s="246"/>
      <c r="T1125" s="246"/>
      <c r="U1125" s="246"/>
      <c r="V1125" s="246"/>
    </row>
    <row r="1126" spans="2:22" x14ac:dyDescent="0.25">
      <c r="B1126" s="247">
        <v>86</v>
      </c>
      <c r="C1126" s="247">
        <v>100</v>
      </c>
      <c r="D1126" s="247">
        <v>86</v>
      </c>
      <c r="E1126" s="247">
        <v>100</v>
      </c>
      <c r="F1126" s="247">
        <f t="shared" si="120"/>
        <v>15</v>
      </c>
      <c r="G1126" s="246">
        <v>3.5</v>
      </c>
      <c r="H1126" s="247"/>
      <c r="I1126" s="246"/>
      <c r="J1126" s="246"/>
      <c r="K1126" s="246"/>
      <c r="L1126" s="246"/>
      <c r="M1126" s="246"/>
      <c r="N1126" s="246"/>
      <c r="O1126" s="246"/>
      <c r="P1126" s="246"/>
      <c r="Q1126" s="246"/>
      <c r="R1126" s="246"/>
      <c r="S1126" s="246"/>
      <c r="T1126" s="246"/>
      <c r="U1126" s="246"/>
      <c r="V1126" s="246"/>
    </row>
    <row r="1127" spans="2:22" x14ac:dyDescent="0.25">
      <c r="B1127" s="247">
        <v>101</v>
      </c>
      <c r="C1127" s="247">
        <v>110</v>
      </c>
      <c r="D1127" s="247">
        <v>101</v>
      </c>
      <c r="E1127" s="247">
        <v>110</v>
      </c>
      <c r="F1127" s="247">
        <f t="shared" si="120"/>
        <v>10</v>
      </c>
      <c r="G1127" s="246">
        <v>3.5</v>
      </c>
      <c r="H1127" s="247"/>
      <c r="I1127" s="246"/>
      <c r="J1127" s="246"/>
      <c r="K1127" s="246"/>
      <c r="L1127" s="246"/>
      <c r="M1127" s="246"/>
      <c r="N1127" s="246"/>
      <c r="O1127" s="246"/>
      <c r="P1127" s="246"/>
      <c r="Q1127" s="246"/>
      <c r="R1127" s="246"/>
      <c r="S1127" s="246"/>
      <c r="T1127" s="246"/>
      <c r="U1127" s="246"/>
      <c r="V1127" s="246"/>
    </row>
    <row r="1128" spans="2:22" x14ac:dyDescent="0.25">
      <c r="B1128" s="247">
        <v>111</v>
      </c>
      <c r="C1128" s="247">
        <v>120</v>
      </c>
      <c r="D1128" s="247">
        <v>111</v>
      </c>
      <c r="E1128" s="247">
        <v>114</v>
      </c>
      <c r="F1128" s="247">
        <f t="shared" si="120"/>
        <v>4</v>
      </c>
      <c r="G1128" s="246">
        <v>3.5</v>
      </c>
      <c r="H1128" s="247"/>
      <c r="I1128" s="246"/>
      <c r="J1128" s="246"/>
      <c r="K1128" s="246"/>
      <c r="L1128" s="246"/>
      <c r="M1128" s="246"/>
      <c r="N1128" s="246"/>
      <c r="O1128" s="246"/>
      <c r="P1128" s="246"/>
      <c r="Q1128" s="246"/>
      <c r="R1128" s="246"/>
      <c r="S1128" s="246"/>
      <c r="T1128" s="246"/>
      <c r="U1128" s="246"/>
      <c r="V1128" s="246"/>
    </row>
    <row r="1129" spans="2:22" x14ac:dyDescent="0.25">
      <c r="B1129" s="246"/>
      <c r="C1129" s="246"/>
      <c r="D1129" s="246"/>
      <c r="E1129" s="246"/>
      <c r="F1129" s="246"/>
      <c r="G1129" s="246"/>
      <c r="H1129" s="246"/>
      <c r="I1129" s="246"/>
      <c r="J1129" s="246"/>
      <c r="K1129" s="246"/>
      <c r="L1129" s="246"/>
      <c r="M1129" s="246"/>
      <c r="N1129" s="246"/>
      <c r="O1129" s="246"/>
      <c r="P1129" s="246"/>
      <c r="Q1129" s="246"/>
      <c r="R1129" s="246"/>
      <c r="S1129" s="246"/>
      <c r="T1129" s="246"/>
      <c r="U1129" s="246"/>
      <c r="V1129" s="246"/>
    </row>
    <row r="1130" spans="2:22" x14ac:dyDescent="0.25">
      <c r="B1130" s="386" t="s">
        <v>332</v>
      </c>
      <c r="C1130" s="386"/>
      <c r="D1130" s="386"/>
      <c r="E1130" s="386"/>
      <c r="F1130" s="386"/>
      <c r="G1130" s="247"/>
      <c r="H1130" s="247"/>
      <c r="I1130" s="246"/>
      <c r="J1130" s="246"/>
      <c r="K1130" s="246"/>
      <c r="L1130" s="246"/>
      <c r="M1130" s="246"/>
      <c r="N1130" s="246"/>
      <c r="O1130" s="246"/>
      <c r="P1130" s="246"/>
      <c r="Q1130" s="246"/>
      <c r="R1130" s="246"/>
      <c r="S1130" s="246"/>
      <c r="T1130" s="246"/>
      <c r="U1130" s="246"/>
      <c r="V1130" s="246"/>
    </row>
    <row r="1131" spans="2:22" x14ac:dyDescent="0.25">
      <c r="B1131" s="386" t="s">
        <v>254</v>
      </c>
      <c r="C1131" s="386"/>
      <c r="D1131" s="386" t="s">
        <v>254</v>
      </c>
      <c r="E1131" s="386"/>
      <c r="F1131" s="192" t="s">
        <v>313</v>
      </c>
      <c r="G1131" s="247" t="s">
        <v>314</v>
      </c>
      <c r="H1131" s="247" t="s">
        <v>316</v>
      </c>
      <c r="I1131" s="246"/>
      <c r="J1131" s="246"/>
      <c r="K1131" s="246"/>
      <c r="L1131" s="246"/>
      <c r="M1131" s="246"/>
      <c r="N1131" s="246"/>
      <c r="O1131" s="246"/>
      <c r="P1131" s="246"/>
      <c r="Q1131" s="246"/>
      <c r="R1131" s="246"/>
      <c r="S1131" s="246"/>
      <c r="T1131" s="246"/>
      <c r="U1131" s="246"/>
      <c r="V1131" s="246"/>
    </row>
    <row r="1132" spans="2:22" x14ac:dyDescent="0.25">
      <c r="B1132" s="247">
        <v>0</v>
      </c>
      <c r="C1132" s="247">
        <v>10</v>
      </c>
      <c r="D1132" s="247"/>
      <c r="E1132" s="247"/>
      <c r="F1132" s="247">
        <v>0</v>
      </c>
      <c r="G1132" s="246">
        <v>2</v>
      </c>
      <c r="H1132" s="247">
        <f>(F1132*G1132+F1133*G1133+F1134*G1134+F1135*G1135+F1136*G1136+F1137*G1137+F1138*G1138)/100</f>
        <v>3.125</v>
      </c>
      <c r="I1132" s="246"/>
      <c r="J1132" s="246"/>
      <c r="K1132" s="246"/>
      <c r="L1132" s="246"/>
      <c r="M1132" s="246"/>
      <c r="N1132" s="246"/>
      <c r="O1132" s="246"/>
      <c r="P1132" s="246"/>
      <c r="Q1132" s="246"/>
      <c r="R1132" s="246"/>
      <c r="S1132" s="246"/>
      <c r="T1132" s="246"/>
      <c r="U1132" s="246"/>
      <c r="V1132" s="246"/>
    </row>
    <row r="1133" spans="2:22" x14ac:dyDescent="0.25">
      <c r="B1133" s="247">
        <v>11</v>
      </c>
      <c r="C1133" s="247">
        <v>25</v>
      </c>
      <c r="D1133" s="247">
        <v>15</v>
      </c>
      <c r="E1133" s="247">
        <v>25</v>
      </c>
      <c r="F1133" s="247">
        <f t="shared" ref="F1133:F1138" si="121">E1133-D1133+1</f>
        <v>11</v>
      </c>
      <c r="G1133" s="246">
        <v>2.5</v>
      </c>
      <c r="H1133" s="247"/>
      <c r="I1133" s="246"/>
      <c r="J1133" s="246"/>
      <c r="K1133" s="246"/>
      <c r="L1133" s="246"/>
      <c r="M1133" s="246"/>
      <c r="N1133" s="246"/>
      <c r="O1133" s="246"/>
      <c r="P1133" s="246"/>
      <c r="Q1133" s="246"/>
      <c r="R1133" s="246"/>
      <c r="S1133" s="246"/>
      <c r="T1133" s="246"/>
      <c r="U1133" s="246"/>
      <c r="V1133" s="246"/>
    </row>
    <row r="1134" spans="2:22" x14ac:dyDescent="0.25">
      <c r="B1134" s="247">
        <v>26</v>
      </c>
      <c r="C1134" s="247">
        <v>55</v>
      </c>
      <c r="D1134" s="247">
        <v>26</v>
      </c>
      <c r="E1134" s="247">
        <v>55</v>
      </c>
      <c r="F1134" s="247">
        <f t="shared" si="121"/>
        <v>30</v>
      </c>
      <c r="G1134" s="246">
        <v>3</v>
      </c>
      <c r="H1134" s="247"/>
      <c r="I1134" s="246"/>
      <c r="J1134" s="246"/>
      <c r="K1134" s="246"/>
      <c r="L1134" s="246"/>
      <c r="M1134" s="246"/>
      <c r="N1134" s="246"/>
      <c r="O1134" s="246"/>
      <c r="P1134" s="246"/>
      <c r="Q1134" s="246"/>
      <c r="R1134" s="246"/>
      <c r="S1134" s="246"/>
      <c r="T1134" s="246"/>
      <c r="U1134" s="246"/>
      <c r="V1134" s="246"/>
    </row>
    <row r="1135" spans="2:22" x14ac:dyDescent="0.25">
      <c r="B1135" s="247">
        <v>56</v>
      </c>
      <c r="C1135" s="247">
        <v>85</v>
      </c>
      <c r="D1135" s="247">
        <v>56</v>
      </c>
      <c r="E1135" s="247">
        <v>85</v>
      </c>
      <c r="F1135" s="247">
        <f t="shared" si="121"/>
        <v>30</v>
      </c>
      <c r="G1135" s="246">
        <v>3</v>
      </c>
      <c r="H1135" s="247"/>
      <c r="I1135" s="246"/>
      <c r="J1135" s="246"/>
      <c r="K1135" s="246"/>
      <c r="L1135" s="246"/>
      <c r="M1135" s="246"/>
      <c r="N1135" s="246"/>
      <c r="O1135" s="246"/>
      <c r="P1135" s="246"/>
      <c r="Q1135" s="246"/>
      <c r="R1135" s="246"/>
      <c r="S1135" s="246"/>
      <c r="T1135" s="246"/>
      <c r="U1135" s="246"/>
      <c r="V1135" s="246"/>
    </row>
    <row r="1136" spans="2:22" x14ac:dyDescent="0.25">
      <c r="B1136" s="247">
        <v>86</v>
      </c>
      <c r="C1136" s="247">
        <v>100</v>
      </c>
      <c r="D1136" s="247">
        <v>86</v>
      </c>
      <c r="E1136" s="247">
        <v>100</v>
      </c>
      <c r="F1136" s="247">
        <f t="shared" si="121"/>
        <v>15</v>
      </c>
      <c r="G1136" s="246">
        <v>3.5</v>
      </c>
      <c r="H1136" s="247"/>
      <c r="I1136" s="246"/>
      <c r="J1136" s="246"/>
      <c r="K1136" s="246"/>
      <c r="L1136" s="246"/>
      <c r="M1136" s="246"/>
      <c r="N1136" s="246"/>
      <c r="O1136" s="246"/>
      <c r="P1136" s="246"/>
      <c r="Q1136" s="246"/>
      <c r="R1136" s="246"/>
      <c r="S1136" s="246"/>
      <c r="T1136" s="246"/>
      <c r="U1136" s="246"/>
      <c r="V1136" s="246"/>
    </row>
    <row r="1137" spans="2:22" x14ac:dyDescent="0.25">
      <c r="B1137" s="247">
        <v>101</v>
      </c>
      <c r="C1137" s="247">
        <v>110</v>
      </c>
      <c r="D1137" s="247">
        <v>101</v>
      </c>
      <c r="E1137" s="247">
        <v>110</v>
      </c>
      <c r="F1137" s="247">
        <f t="shared" si="121"/>
        <v>10</v>
      </c>
      <c r="G1137" s="246">
        <v>3.5</v>
      </c>
      <c r="H1137" s="247"/>
      <c r="I1137" s="246"/>
      <c r="J1137" s="246"/>
      <c r="K1137" s="246"/>
      <c r="L1137" s="246"/>
      <c r="M1137" s="246"/>
      <c r="N1137" s="246"/>
      <c r="O1137" s="246"/>
      <c r="P1137" s="246"/>
      <c r="Q1137" s="246"/>
      <c r="R1137" s="246"/>
      <c r="S1137" s="246"/>
      <c r="T1137" s="246"/>
      <c r="U1137" s="246"/>
      <c r="V1137" s="246"/>
    </row>
    <row r="1138" spans="2:22" x14ac:dyDescent="0.25">
      <c r="B1138" s="247">
        <v>111</v>
      </c>
      <c r="C1138" s="247">
        <v>120</v>
      </c>
      <c r="D1138" s="247">
        <v>111</v>
      </c>
      <c r="E1138" s="247">
        <v>115</v>
      </c>
      <c r="F1138" s="247">
        <f t="shared" si="121"/>
        <v>5</v>
      </c>
      <c r="G1138" s="246">
        <v>3.5</v>
      </c>
      <c r="H1138" s="247"/>
      <c r="I1138" s="246"/>
      <c r="J1138" s="246"/>
      <c r="K1138" s="246"/>
      <c r="L1138" s="246"/>
      <c r="M1138" s="246"/>
      <c r="N1138" s="246"/>
      <c r="O1138" s="246"/>
      <c r="P1138" s="246"/>
      <c r="Q1138" s="246"/>
      <c r="R1138" s="246"/>
      <c r="S1138" s="246"/>
      <c r="T1138" s="246"/>
      <c r="U1138" s="246"/>
      <c r="V1138" s="246"/>
    </row>
    <row r="1139" spans="2:22" x14ac:dyDescent="0.25">
      <c r="B1139" s="246"/>
      <c r="C1139" s="246"/>
      <c r="D1139" s="246"/>
      <c r="E1139" s="246"/>
      <c r="F1139" s="246"/>
      <c r="G1139" s="246"/>
      <c r="H1139" s="246"/>
      <c r="I1139" s="246"/>
      <c r="J1139" s="246"/>
      <c r="K1139" s="246"/>
      <c r="L1139" s="246"/>
      <c r="M1139" s="246"/>
      <c r="N1139" s="246"/>
      <c r="O1139" s="246"/>
      <c r="P1139" s="246"/>
      <c r="Q1139" s="246"/>
      <c r="R1139" s="246"/>
      <c r="S1139" s="246"/>
      <c r="T1139" s="246"/>
      <c r="U1139" s="246"/>
      <c r="V1139" s="246"/>
    </row>
    <row r="1140" spans="2:22" x14ac:dyDescent="0.25">
      <c r="B1140" s="386" t="s">
        <v>333</v>
      </c>
      <c r="C1140" s="386"/>
      <c r="D1140" s="386"/>
      <c r="E1140" s="386"/>
      <c r="F1140" s="386"/>
      <c r="G1140" s="247"/>
      <c r="H1140" s="247"/>
      <c r="I1140" s="246"/>
      <c r="J1140" s="246"/>
      <c r="K1140" s="246"/>
      <c r="L1140" s="246"/>
      <c r="M1140" s="246"/>
      <c r="N1140" s="246"/>
      <c r="O1140" s="246"/>
      <c r="P1140" s="246"/>
      <c r="Q1140" s="246"/>
      <c r="R1140" s="246"/>
      <c r="S1140" s="246"/>
      <c r="T1140" s="246"/>
      <c r="U1140" s="246"/>
      <c r="V1140" s="246"/>
    </row>
    <row r="1141" spans="2:22" x14ac:dyDescent="0.25">
      <c r="B1141" s="386" t="s">
        <v>254</v>
      </c>
      <c r="C1141" s="386"/>
      <c r="D1141" s="386" t="s">
        <v>254</v>
      </c>
      <c r="E1141" s="386"/>
      <c r="F1141" s="192" t="s">
        <v>313</v>
      </c>
      <c r="G1141" s="247" t="s">
        <v>314</v>
      </c>
      <c r="H1141" s="247" t="s">
        <v>316</v>
      </c>
      <c r="I1141" s="246"/>
      <c r="J1141" s="246"/>
      <c r="K1141" s="246"/>
      <c r="L1141" s="246"/>
      <c r="M1141" s="246"/>
      <c r="N1141" s="246"/>
      <c r="O1141" s="246"/>
      <c r="P1141" s="246"/>
      <c r="Q1141" s="246"/>
      <c r="R1141" s="246"/>
      <c r="S1141" s="246"/>
      <c r="T1141" s="246"/>
      <c r="U1141" s="246"/>
      <c r="V1141" s="246"/>
    </row>
    <row r="1142" spans="2:22" x14ac:dyDescent="0.25">
      <c r="B1142" s="247">
        <v>0</v>
      </c>
      <c r="C1142" s="247">
        <v>10</v>
      </c>
      <c r="D1142" s="247"/>
      <c r="E1142" s="247"/>
      <c r="F1142" s="247">
        <v>0</v>
      </c>
      <c r="G1142" s="246">
        <v>2</v>
      </c>
      <c r="H1142" s="247">
        <f>(F1142*G1142+F1143*G1143+F1144*G1144+F1145*G1145+F1146*G1146+F1147*G1147+F1148*G1148)/100</f>
        <v>3.1349999999999998</v>
      </c>
      <c r="I1142" s="246"/>
      <c r="J1142" s="246"/>
      <c r="K1142" s="246"/>
      <c r="L1142" s="246"/>
      <c r="M1142" s="246"/>
      <c r="N1142" s="246"/>
      <c r="O1142" s="246"/>
      <c r="P1142" s="246"/>
      <c r="Q1142" s="246"/>
      <c r="R1142" s="246"/>
      <c r="S1142" s="246"/>
      <c r="T1142" s="246"/>
      <c r="U1142" s="246"/>
      <c r="V1142" s="246"/>
    </row>
    <row r="1143" spans="2:22" x14ac:dyDescent="0.25">
      <c r="B1143" s="247">
        <v>11</v>
      </c>
      <c r="C1143" s="247">
        <v>25</v>
      </c>
      <c r="D1143" s="247">
        <v>16</v>
      </c>
      <c r="E1143" s="247">
        <v>25</v>
      </c>
      <c r="F1143" s="247">
        <f t="shared" ref="F1143:F1148" si="122">E1143-D1143+1</f>
        <v>10</v>
      </c>
      <c r="G1143" s="246">
        <v>2.5</v>
      </c>
      <c r="H1143" s="247"/>
      <c r="I1143" s="246"/>
      <c r="J1143" s="246"/>
      <c r="K1143" s="246"/>
      <c r="L1143" s="246"/>
      <c r="M1143" s="246"/>
      <c r="N1143" s="246"/>
      <c r="O1143" s="246"/>
      <c r="P1143" s="246"/>
      <c r="Q1143" s="246"/>
      <c r="R1143" s="246"/>
      <c r="S1143" s="246"/>
      <c r="T1143" s="246"/>
      <c r="U1143" s="246"/>
      <c r="V1143" s="246"/>
    </row>
    <row r="1144" spans="2:22" x14ac:dyDescent="0.25">
      <c r="B1144" s="247">
        <v>26</v>
      </c>
      <c r="C1144" s="247">
        <v>55</v>
      </c>
      <c r="D1144" s="247">
        <v>26</v>
      </c>
      <c r="E1144" s="247">
        <v>55</v>
      </c>
      <c r="F1144" s="247">
        <f t="shared" si="122"/>
        <v>30</v>
      </c>
      <c r="G1144" s="246">
        <v>3</v>
      </c>
      <c r="H1144" s="247"/>
      <c r="I1144" s="246"/>
      <c r="J1144" s="246"/>
      <c r="K1144" s="246"/>
      <c r="L1144" s="246"/>
      <c r="M1144" s="246"/>
      <c r="N1144" s="246"/>
      <c r="O1144" s="246"/>
      <c r="P1144" s="246"/>
      <c r="Q1144" s="246"/>
      <c r="R1144" s="246"/>
      <c r="S1144" s="246"/>
      <c r="T1144" s="246"/>
      <c r="U1144" s="246"/>
      <c r="V1144" s="246"/>
    </row>
    <row r="1145" spans="2:22" x14ac:dyDescent="0.25">
      <c r="B1145" s="247">
        <v>56</v>
      </c>
      <c r="C1145" s="247">
        <v>85</v>
      </c>
      <c r="D1145" s="247">
        <v>56</v>
      </c>
      <c r="E1145" s="247">
        <v>85</v>
      </c>
      <c r="F1145" s="247">
        <f t="shared" si="122"/>
        <v>30</v>
      </c>
      <c r="G1145" s="246">
        <v>3</v>
      </c>
      <c r="H1145" s="247"/>
      <c r="I1145" s="246"/>
      <c r="J1145" s="246"/>
      <c r="K1145" s="246"/>
      <c r="L1145" s="246"/>
      <c r="M1145" s="246"/>
      <c r="N1145" s="246"/>
      <c r="O1145" s="246"/>
      <c r="P1145" s="246"/>
      <c r="Q1145" s="246"/>
      <c r="R1145" s="246"/>
      <c r="S1145" s="246"/>
      <c r="T1145" s="246"/>
      <c r="U1145" s="246"/>
      <c r="V1145" s="246"/>
    </row>
    <row r="1146" spans="2:22" x14ac:dyDescent="0.25">
      <c r="B1146" s="247">
        <v>86</v>
      </c>
      <c r="C1146" s="247">
        <v>100</v>
      </c>
      <c r="D1146" s="247">
        <v>86</v>
      </c>
      <c r="E1146" s="247">
        <v>100</v>
      </c>
      <c r="F1146" s="247">
        <f t="shared" si="122"/>
        <v>15</v>
      </c>
      <c r="G1146" s="246">
        <v>3.5</v>
      </c>
      <c r="H1146" s="247"/>
      <c r="I1146" s="246"/>
      <c r="J1146" s="246"/>
      <c r="K1146" s="246"/>
      <c r="L1146" s="246"/>
      <c r="M1146" s="246"/>
      <c r="N1146" s="246"/>
      <c r="O1146" s="246"/>
      <c r="P1146" s="246"/>
      <c r="Q1146" s="246"/>
      <c r="R1146" s="246"/>
      <c r="S1146" s="246"/>
      <c r="T1146" s="246"/>
      <c r="U1146" s="246"/>
      <c r="V1146" s="246"/>
    </row>
    <row r="1147" spans="2:22" x14ac:dyDescent="0.25">
      <c r="B1147" s="247">
        <v>101</v>
      </c>
      <c r="C1147" s="247">
        <v>110</v>
      </c>
      <c r="D1147" s="247">
        <v>101</v>
      </c>
      <c r="E1147" s="247">
        <v>110</v>
      </c>
      <c r="F1147" s="247">
        <f t="shared" si="122"/>
        <v>10</v>
      </c>
      <c r="G1147" s="246">
        <v>3.5</v>
      </c>
      <c r="H1147" s="247"/>
      <c r="I1147" s="246"/>
      <c r="J1147" s="246"/>
      <c r="K1147" s="246"/>
      <c r="L1147" s="246"/>
      <c r="M1147" s="246"/>
      <c r="N1147" s="246"/>
      <c r="O1147" s="246"/>
      <c r="P1147" s="246"/>
      <c r="Q1147" s="246"/>
      <c r="R1147" s="246"/>
      <c r="S1147" s="246"/>
      <c r="T1147" s="246"/>
      <c r="U1147" s="246"/>
      <c r="V1147" s="246"/>
    </row>
    <row r="1148" spans="2:22" x14ac:dyDescent="0.25">
      <c r="B1148" s="247">
        <v>111</v>
      </c>
      <c r="C1148" s="247">
        <v>120</v>
      </c>
      <c r="D1148" s="247">
        <v>111</v>
      </c>
      <c r="E1148" s="247">
        <v>116</v>
      </c>
      <c r="F1148" s="247">
        <f t="shared" si="122"/>
        <v>6</v>
      </c>
      <c r="G1148" s="246">
        <v>3.5</v>
      </c>
      <c r="H1148" s="247"/>
      <c r="I1148" s="246"/>
      <c r="J1148" s="246"/>
      <c r="K1148" s="246"/>
      <c r="L1148" s="246"/>
      <c r="M1148" s="246"/>
      <c r="N1148" s="246"/>
      <c r="O1148" s="246"/>
      <c r="P1148" s="246"/>
      <c r="Q1148" s="246"/>
      <c r="R1148" s="246"/>
      <c r="S1148" s="246"/>
      <c r="T1148" s="246"/>
      <c r="U1148" s="246"/>
      <c r="V1148" s="246"/>
    </row>
    <row r="1149" spans="2:22" x14ac:dyDescent="0.25">
      <c r="B1149" s="246"/>
      <c r="C1149" s="246"/>
      <c r="D1149" s="246"/>
      <c r="E1149" s="246"/>
      <c r="F1149" s="246"/>
      <c r="G1149" s="246"/>
      <c r="H1149" s="246"/>
      <c r="I1149" s="246"/>
      <c r="J1149" s="246"/>
      <c r="K1149" s="246"/>
      <c r="L1149" s="246"/>
      <c r="M1149" s="246"/>
      <c r="N1149" s="246"/>
      <c r="O1149" s="246"/>
      <c r="P1149" s="246"/>
      <c r="Q1149" s="246"/>
      <c r="R1149" s="246"/>
      <c r="S1149" s="246"/>
      <c r="T1149" s="246"/>
      <c r="U1149" s="246"/>
      <c r="V1149" s="246"/>
    </row>
    <row r="1150" spans="2:22" x14ac:dyDescent="0.25">
      <c r="B1150" s="386" t="s">
        <v>334</v>
      </c>
      <c r="C1150" s="386"/>
      <c r="D1150" s="386"/>
      <c r="E1150" s="386"/>
      <c r="F1150" s="386"/>
      <c r="G1150" s="247"/>
      <c r="H1150" s="247"/>
      <c r="I1150" s="246"/>
      <c r="J1150" s="246"/>
      <c r="K1150" s="246"/>
      <c r="L1150" s="246"/>
      <c r="M1150" s="246"/>
      <c r="N1150" s="246"/>
      <c r="O1150" s="246"/>
      <c r="P1150" s="246"/>
      <c r="Q1150" s="246"/>
      <c r="R1150" s="246"/>
      <c r="S1150" s="246"/>
      <c r="T1150" s="246"/>
      <c r="U1150" s="246"/>
      <c r="V1150" s="246"/>
    </row>
    <row r="1151" spans="2:22" x14ac:dyDescent="0.25">
      <c r="B1151" s="386" t="s">
        <v>254</v>
      </c>
      <c r="C1151" s="386"/>
      <c r="D1151" s="386" t="s">
        <v>254</v>
      </c>
      <c r="E1151" s="386"/>
      <c r="F1151" s="192" t="s">
        <v>313</v>
      </c>
      <c r="G1151" s="247" t="s">
        <v>314</v>
      </c>
      <c r="H1151" s="247" t="s">
        <v>316</v>
      </c>
      <c r="I1151" s="246"/>
      <c r="J1151" s="246"/>
      <c r="K1151" s="246"/>
      <c r="L1151" s="246"/>
      <c r="M1151" s="246"/>
      <c r="N1151" s="246"/>
      <c r="O1151" s="246"/>
      <c r="P1151" s="246"/>
      <c r="Q1151" s="246"/>
      <c r="R1151" s="246"/>
      <c r="S1151" s="246"/>
      <c r="T1151" s="246"/>
      <c r="U1151" s="246"/>
      <c r="V1151" s="246"/>
    </row>
    <row r="1152" spans="2:22" x14ac:dyDescent="0.25">
      <c r="B1152" s="247">
        <v>0</v>
      </c>
      <c r="C1152" s="247">
        <v>10</v>
      </c>
      <c r="D1152" s="247"/>
      <c r="E1152" s="247"/>
      <c r="F1152" s="247">
        <v>0</v>
      </c>
      <c r="G1152" s="246">
        <v>2</v>
      </c>
      <c r="H1152" s="247">
        <f>(F1152*G1152+F1153*G1153+F1154*G1154+F1155*G1155+F1156*G1156+F1157*G1157+F1158*G1158)/100</f>
        <v>3.145</v>
      </c>
      <c r="I1152" s="246"/>
      <c r="J1152" s="246"/>
      <c r="K1152" s="246"/>
      <c r="L1152" s="246"/>
      <c r="M1152" s="246"/>
      <c r="N1152" s="246"/>
      <c r="O1152" s="246"/>
      <c r="P1152" s="246"/>
      <c r="Q1152" s="246"/>
      <c r="R1152" s="246"/>
      <c r="S1152" s="246"/>
      <c r="T1152" s="246"/>
      <c r="U1152" s="246"/>
      <c r="V1152" s="246"/>
    </row>
    <row r="1153" spans="2:22" x14ac:dyDescent="0.25">
      <c r="B1153" s="247">
        <v>11</v>
      </c>
      <c r="C1153" s="247">
        <v>25</v>
      </c>
      <c r="D1153" s="247">
        <v>17</v>
      </c>
      <c r="E1153" s="247">
        <v>25</v>
      </c>
      <c r="F1153" s="247">
        <f t="shared" ref="F1153:F1158" si="123">E1153-D1153+1</f>
        <v>9</v>
      </c>
      <c r="G1153" s="246">
        <v>2.5</v>
      </c>
      <c r="H1153" s="247"/>
      <c r="I1153" s="246"/>
      <c r="J1153" s="246"/>
      <c r="K1153" s="246"/>
      <c r="L1153" s="246"/>
      <c r="M1153" s="246"/>
      <c r="N1153" s="246"/>
      <c r="O1153" s="246"/>
      <c r="P1153" s="246"/>
      <c r="Q1153" s="246"/>
      <c r="R1153" s="246"/>
      <c r="S1153" s="246"/>
      <c r="T1153" s="246"/>
      <c r="U1153" s="246"/>
      <c r="V1153" s="246"/>
    </row>
    <row r="1154" spans="2:22" x14ac:dyDescent="0.25">
      <c r="B1154" s="247">
        <v>26</v>
      </c>
      <c r="C1154" s="247">
        <v>55</v>
      </c>
      <c r="D1154" s="247">
        <v>26</v>
      </c>
      <c r="E1154" s="247">
        <v>55</v>
      </c>
      <c r="F1154" s="247">
        <f t="shared" si="123"/>
        <v>30</v>
      </c>
      <c r="G1154" s="246">
        <v>3</v>
      </c>
      <c r="H1154" s="247"/>
      <c r="I1154" s="246"/>
      <c r="J1154" s="246"/>
      <c r="K1154" s="246"/>
      <c r="L1154" s="246"/>
      <c r="M1154" s="246"/>
      <c r="N1154" s="246"/>
      <c r="O1154" s="246"/>
      <c r="P1154" s="246"/>
      <c r="Q1154" s="246"/>
      <c r="R1154" s="246"/>
      <c r="S1154" s="246"/>
      <c r="T1154" s="246"/>
      <c r="U1154" s="246"/>
      <c r="V1154" s="246"/>
    </row>
    <row r="1155" spans="2:22" x14ac:dyDescent="0.25">
      <c r="B1155" s="247">
        <v>56</v>
      </c>
      <c r="C1155" s="247">
        <v>85</v>
      </c>
      <c r="D1155" s="247">
        <v>56</v>
      </c>
      <c r="E1155" s="247">
        <v>85</v>
      </c>
      <c r="F1155" s="247">
        <f t="shared" si="123"/>
        <v>30</v>
      </c>
      <c r="G1155" s="246">
        <v>3</v>
      </c>
      <c r="H1155" s="247"/>
      <c r="I1155" s="246"/>
      <c r="J1155" s="246"/>
      <c r="K1155" s="246"/>
      <c r="L1155" s="246"/>
      <c r="M1155" s="246"/>
      <c r="N1155" s="246"/>
      <c r="O1155" s="246"/>
      <c r="P1155" s="246"/>
      <c r="Q1155" s="246"/>
      <c r="R1155" s="246"/>
      <c r="S1155" s="246"/>
      <c r="T1155" s="246"/>
      <c r="U1155" s="246"/>
      <c r="V1155" s="246"/>
    </row>
    <row r="1156" spans="2:22" x14ac:dyDescent="0.25">
      <c r="B1156" s="247">
        <v>86</v>
      </c>
      <c r="C1156" s="247">
        <v>100</v>
      </c>
      <c r="D1156" s="247">
        <v>86</v>
      </c>
      <c r="E1156" s="247">
        <v>100</v>
      </c>
      <c r="F1156" s="247">
        <f t="shared" si="123"/>
        <v>15</v>
      </c>
      <c r="G1156" s="246">
        <v>3.5</v>
      </c>
      <c r="H1156" s="247"/>
      <c r="I1156" s="246"/>
      <c r="J1156" s="246"/>
      <c r="K1156" s="246"/>
      <c r="L1156" s="246"/>
      <c r="M1156" s="246"/>
      <c r="N1156" s="246"/>
      <c r="O1156" s="246"/>
      <c r="P1156" s="246"/>
      <c r="Q1156" s="246"/>
      <c r="R1156" s="246"/>
      <c r="S1156" s="246"/>
      <c r="T1156" s="246"/>
      <c r="U1156" s="246"/>
      <c r="V1156" s="246"/>
    </row>
    <row r="1157" spans="2:22" x14ac:dyDescent="0.25">
      <c r="B1157" s="247">
        <v>101</v>
      </c>
      <c r="C1157" s="247">
        <v>110</v>
      </c>
      <c r="D1157" s="247">
        <v>101</v>
      </c>
      <c r="E1157" s="247">
        <v>110</v>
      </c>
      <c r="F1157" s="247">
        <f t="shared" si="123"/>
        <v>10</v>
      </c>
      <c r="G1157" s="246">
        <v>3.5</v>
      </c>
      <c r="H1157" s="247"/>
      <c r="I1157" s="246"/>
      <c r="J1157" s="246"/>
      <c r="K1157" s="246"/>
      <c r="L1157" s="246"/>
      <c r="M1157" s="246"/>
      <c r="N1157" s="246"/>
      <c r="O1157" s="246"/>
      <c r="P1157" s="246"/>
      <c r="Q1157" s="246"/>
      <c r="R1157" s="246"/>
      <c r="S1157" s="246"/>
      <c r="T1157" s="246"/>
      <c r="U1157" s="246"/>
      <c r="V1157" s="246"/>
    </row>
    <row r="1158" spans="2:22" x14ac:dyDescent="0.25">
      <c r="B1158" s="247">
        <v>111</v>
      </c>
      <c r="C1158" s="247">
        <v>120</v>
      </c>
      <c r="D1158" s="247">
        <v>111</v>
      </c>
      <c r="E1158" s="247">
        <v>117</v>
      </c>
      <c r="F1158" s="247">
        <f t="shared" si="123"/>
        <v>7</v>
      </c>
      <c r="G1158" s="246">
        <v>3.5</v>
      </c>
      <c r="H1158" s="247"/>
      <c r="I1158" s="246"/>
      <c r="J1158" s="246"/>
      <c r="K1158" s="246"/>
      <c r="L1158" s="246"/>
      <c r="M1158" s="246"/>
      <c r="N1158" s="246"/>
      <c r="O1158" s="246"/>
      <c r="P1158" s="246"/>
      <c r="Q1158" s="246"/>
      <c r="R1158" s="246"/>
      <c r="S1158" s="246"/>
      <c r="T1158" s="246"/>
      <c r="U1158" s="246"/>
      <c r="V1158" s="246"/>
    </row>
    <row r="1159" spans="2:22" x14ac:dyDescent="0.25">
      <c r="B1159" s="246"/>
      <c r="C1159" s="246"/>
      <c r="D1159" s="246"/>
      <c r="E1159" s="246"/>
      <c r="F1159" s="246"/>
      <c r="G1159" s="246"/>
      <c r="H1159" s="246"/>
      <c r="I1159" s="246"/>
      <c r="J1159" s="246"/>
      <c r="K1159" s="246"/>
      <c r="L1159" s="246"/>
      <c r="M1159" s="246"/>
      <c r="N1159" s="246"/>
      <c r="O1159" s="246"/>
      <c r="P1159" s="246"/>
      <c r="Q1159" s="246"/>
      <c r="R1159" s="246"/>
      <c r="S1159" s="246"/>
      <c r="T1159" s="246"/>
      <c r="U1159" s="246"/>
      <c r="V1159" s="246"/>
    </row>
    <row r="1160" spans="2:22" x14ac:dyDescent="0.25">
      <c r="B1160" s="386" t="s">
        <v>335</v>
      </c>
      <c r="C1160" s="386"/>
      <c r="D1160" s="386"/>
      <c r="E1160" s="386"/>
      <c r="F1160" s="386"/>
      <c r="G1160" s="247"/>
      <c r="H1160" s="247"/>
      <c r="I1160" s="246"/>
      <c r="J1160" s="246"/>
      <c r="K1160" s="246"/>
      <c r="L1160" s="246"/>
      <c r="M1160" s="246"/>
      <c r="N1160" s="246"/>
      <c r="O1160" s="246"/>
      <c r="P1160" s="246"/>
      <c r="Q1160" s="246"/>
      <c r="R1160" s="246"/>
      <c r="S1160" s="246"/>
      <c r="T1160" s="246"/>
      <c r="U1160" s="246"/>
      <c r="V1160" s="246"/>
    </row>
    <row r="1161" spans="2:22" x14ac:dyDescent="0.25">
      <c r="B1161" s="386" t="s">
        <v>254</v>
      </c>
      <c r="C1161" s="386"/>
      <c r="D1161" s="386" t="s">
        <v>254</v>
      </c>
      <c r="E1161" s="386"/>
      <c r="F1161" s="192" t="s">
        <v>313</v>
      </c>
      <c r="G1161" s="247" t="s">
        <v>314</v>
      </c>
      <c r="H1161" s="247" t="s">
        <v>316</v>
      </c>
      <c r="I1161" s="246"/>
      <c r="J1161" s="246"/>
      <c r="K1161" s="246"/>
      <c r="L1161" s="246"/>
      <c r="M1161" s="246"/>
      <c r="N1161" s="246"/>
      <c r="O1161" s="246"/>
      <c r="P1161" s="246"/>
      <c r="Q1161" s="246"/>
      <c r="R1161" s="246"/>
      <c r="S1161" s="246"/>
      <c r="T1161" s="246"/>
      <c r="U1161" s="246"/>
      <c r="V1161" s="246"/>
    </row>
    <row r="1162" spans="2:22" x14ac:dyDescent="0.25">
      <c r="B1162" s="247">
        <v>0</v>
      </c>
      <c r="C1162" s="247">
        <v>10</v>
      </c>
      <c r="D1162" s="247"/>
      <c r="E1162" s="247"/>
      <c r="F1162" s="247">
        <v>0</v>
      </c>
      <c r="G1162" s="246">
        <v>2</v>
      </c>
      <c r="H1162" s="247">
        <f>(F1162*G1162+F1163*G1163+F1164*G1164+F1165*G1165+F1166*G1166+F1167*G1167+F1168*G1168)/100</f>
        <v>3.1549999999999998</v>
      </c>
      <c r="I1162" s="246"/>
      <c r="J1162" s="246"/>
      <c r="K1162" s="246"/>
      <c r="L1162" s="246"/>
      <c r="M1162" s="246"/>
      <c r="N1162" s="246"/>
      <c r="O1162" s="246"/>
      <c r="P1162" s="246"/>
      <c r="Q1162" s="246"/>
      <c r="R1162" s="246"/>
      <c r="S1162" s="246"/>
      <c r="T1162" s="246"/>
      <c r="U1162" s="246"/>
      <c r="V1162" s="246"/>
    </row>
    <row r="1163" spans="2:22" x14ac:dyDescent="0.25">
      <c r="B1163" s="247">
        <v>11</v>
      </c>
      <c r="C1163" s="247">
        <v>25</v>
      </c>
      <c r="D1163" s="247">
        <v>18</v>
      </c>
      <c r="E1163" s="247">
        <v>25</v>
      </c>
      <c r="F1163" s="247">
        <f t="shared" ref="F1163:F1168" si="124">E1163-D1163+1</f>
        <v>8</v>
      </c>
      <c r="G1163" s="246">
        <v>2.5</v>
      </c>
      <c r="H1163" s="247"/>
      <c r="I1163" s="246"/>
      <c r="J1163" s="246"/>
      <c r="K1163" s="246"/>
      <c r="L1163" s="246"/>
      <c r="M1163" s="246"/>
      <c r="N1163" s="246"/>
      <c r="O1163" s="246"/>
      <c r="P1163" s="246"/>
      <c r="Q1163" s="246"/>
      <c r="R1163" s="246"/>
      <c r="S1163" s="246"/>
      <c r="T1163" s="246"/>
      <c r="U1163" s="246"/>
      <c r="V1163" s="246"/>
    </row>
    <row r="1164" spans="2:22" x14ac:dyDescent="0.25">
      <c r="B1164" s="247">
        <v>26</v>
      </c>
      <c r="C1164" s="247">
        <v>55</v>
      </c>
      <c r="D1164" s="247">
        <v>26</v>
      </c>
      <c r="E1164" s="247">
        <v>55</v>
      </c>
      <c r="F1164" s="247">
        <f t="shared" si="124"/>
        <v>30</v>
      </c>
      <c r="G1164" s="246">
        <v>3</v>
      </c>
      <c r="H1164" s="247"/>
      <c r="I1164" s="246"/>
      <c r="J1164" s="246"/>
      <c r="K1164" s="246"/>
      <c r="L1164" s="246"/>
      <c r="M1164" s="246"/>
      <c r="N1164" s="246"/>
      <c r="O1164" s="246"/>
      <c r="P1164" s="246"/>
      <c r="Q1164" s="246"/>
      <c r="R1164" s="246"/>
      <c r="S1164" s="246"/>
      <c r="T1164" s="246"/>
      <c r="U1164" s="246"/>
      <c r="V1164" s="246"/>
    </row>
    <row r="1165" spans="2:22" x14ac:dyDescent="0.25">
      <c r="B1165" s="247">
        <v>56</v>
      </c>
      <c r="C1165" s="247">
        <v>85</v>
      </c>
      <c r="D1165" s="247">
        <v>56</v>
      </c>
      <c r="E1165" s="247">
        <v>85</v>
      </c>
      <c r="F1165" s="247">
        <f t="shared" si="124"/>
        <v>30</v>
      </c>
      <c r="G1165" s="246">
        <v>3</v>
      </c>
      <c r="H1165" s="247"/>
      <c r="I1165" s="246"/>
      <c r="J1165" s="246"/>
      <c r="K1165" s="246"/>
      <c r="L1165" s="246"/>
      <c r="M1165" s="246"/>
      <c r="N1165" s="246"/>
      <c r="O1165" s="246"/>
      <c r="P1165" s="246"/>
      <c r="Q1165" s="246"/>
      <c r="R1165" s="246"/>
      <c r="S1165" s="246"/>
      <c r="T1165" s="246"/>
      <c r="U1165" s="246"/>
      <c r="V1165" s="246"/>
    </row>
    <row r="1166" spans="2:22" x14ac:dyDescent="0.25">
      <c r="B1166" s="247">
        <v>86</v>
      </c>
      <c r="C1166" s="247">
        <v>100</v>
      </c>
      <c r="D1166" s="247">
        <v>86</v>
      </c>
      <c r="E1166" s="247">
        <v>100</v>
      </c>
      <c r="F1166" s="247">
        <f t="shared" si="124"/>
        <v>15</v>
      </c>
      <c r="G1166" s="246">
        <v>3.5</v>
      </c>
      <c r="H1166" s="247"/>
      <c r="I1166" s="246"/>
      <c r="J1166" s="246"/>
      <c r="K1166" s="246"/>
      <c r="L1166" s="246"/>
      <c r="M1166" s="246"/>
      <c r="N1166" s="246"/>
      <c r="O1166" s="246"/>
      <c r="P1166" s="246"/>
      <c r="Q1166" s="246"/>
      <c r="R1166" s="246"/>
      <c r="S1166" s="246"/>
      <c r="T1166" s="246"/>
      <c r="U1166" s="246"/>
      <c r="V1166" s="246"/>
    </row>
    <row r="1167" spans="2:22" x14ac:dyDescent="0.25">
      <c r="B1167" s="247">
        <v>101</v>
      </c>
      <c r="C1167" s="247">
        <v>110</v>
      </c>
      <c r="D1167" s="247">
        <v>101</v>
      </c>
      <c r="E1167" s="247">
        <v>110</v>
      </c>
      <c r="F1167" s="247">
        <f t="shared" si="124"/>
        <v>10</v>
      </c>
      <c r="G1167" s="246">
        <v>3.5</v>
      </c>
      <c r="H1167" s="247"/>
      <c r="I1167" s="246"/>
      <c r="J1167" s="246"/>
      <c r="K1167" s="246"/>
      <c r="L1167" s="246"/>
      <c r="M1167" s="246"/>
      <c r="N1167" s="246"/>
      <c r="O1167" s="246"/>
      <c r="P1167" s="246"/>
      <c r="Q1167" s="246"/>
      <c r="R1167" s="246"/>
      <c r="S1167" s="246"/>
      <c r="T1167" s="246"/>
      <c r="U1167" s="246"/>
      <c r="V1167" s="246"/>
    </row>
    <row r="1168" spans="2:22" x14ac:dyDescent="0.25">
      <c r="B1168" s="247">
        <v>111</v>
      </c>
      <c r="C1168" s="247">
        <v>120</v>
      </c>
      <c r="D1168" s="247">
        <v>111</v>
      </c>
      <c r="E1168" s="247">
        <v>118</v>
      </c>
      <c r="F1168" s="247">
        <f t="shared" si="124"/>
        <v>8</v>
      </c>
      <c r="G1168" s="246">
        <v>3.5</v>
      </c>
      <c r="H1168" s="247"/>
      <c r="I1168" s="246"/>
      <c r="J1168" s="246"/>
      <c r="K1168" s="246"/>
      <c r="L1168" s="246"/>
      <c r="M1168" s="246"/>
      <c r="N1168" s="246"/>
      <c r="O1168" s="246"/>
      <c r="P1168" s="246"/>
      <c r="Q1168" s="246"/>
      <c r="R1168" s="246"/>
      <c r="S1168" s="246"/>
      <c r="T1168" s="246"/>
      <c r="U1168" s="246"/>
      <c r="V1168" s="246"/>
    </row>
    <row r="1169" spans="2:22" x14ac:dyDescent="0.25">
      <c r="B1169" s="246"/>
      <c r="C1169" s="246"/>
      <c r="D1169" s="246"/>
      <c r="E1169" s="246"/>
      <c r="F1169" s="246"/>
      <c r="G1169" s="246"/>
      <c r="H1169" s="246"/>
      <c r="I1169" s="246"/>
      <c r="J1169" s="246"/>
      <c r="K1169" s="246"/>
      <c r="L1169" s="246"/>
      <c r="M1169" s="246"/>
      <c r="N1169" s="246"/>
      <c r="O1169" s="246"/>
      <c r="P1169" s="246"/>
      <c r="Q1169" s="246"/>
      <c r="R1169" s="246"/>
      <c r="S1169" s="246"/>
      <c r="T1169" s="246"/>
      <c r="U1169" s="246"/>
      <c r="V1169" s="246"/>
    </row>
    <row r="1170" spans="2:22" x14ac:dyDescent="0.25">
      <c r="B1170" s="386" t="s">
        <v>336</v>
      </c>
      <c r="C1170" s="386"/>
      <c r="D1170" s="386"/>
      <c r="E1170" s="386"/>
      <c r="F1170" s="386"/>
      <c r="G1170" s="247"/>
      <c r="H1170" s="247"/>
      <c r="I1170" s="246"/>
      <c r="J1170" s="246"/>
      <c r="K1170" s="246"/>
      <c r="L1170" s="246"/>
      <c r="M1170" s="246"/>
      <c r="N1170" s="246"/>
      <c r="O1170" s="246"/>
      <c r="P1170" s="246"/>
      <c r="Q1170" s="246"/>
      <c r="R1170" s="246"/>
      <c r="S1170" s="246"/>
      <c r="T1170" s="246"/>
      <c r="U1170" s="246"/>
      <c r="V1170" s="246"/>
    </row>
    <row r="1171" spans="2:22" x14ac:dyDescent="0.25">
      <c r="B1171" s="386" t="s">
        <v>254</v>
      </c>
      <c r="C1171" s="386"/>
      <c r="D1171" s="386" t="s">
        <v>254</v>
      </c>
      <c r="E1171" s="386"/>
      <c r="F1171" s="192" t="s">
        <v>313</v>
      </c>
      <c r="G1171" s="247" t="s">
        <v>314</v>
      </c>
      <c r="H1171" s="247" t="s">
        <v>316</v>
      </c>
      <c r="I1171" s="246"/>
      <c r="J1171" s="246"/>
      <c r="K1171" s="246"/>
      <c r="L1171" s="246"/>
      <c r="M1171" s="246"/>
      <c r="N1171" s="246"/>
      <c r="O1171" s="246"/>
      <c r="P1171" s="246"/>
      <c r="Q1171" s="246"/>
      <c r="R1171" s="246"/>
      <c r="S1171" s="246"/>
      <c r="T1171" s="246"/>
      <c r="U1171" s="246"/>
      <c r="V1171" s="246"/>
    </row>
    <row r="1172" spans="2:22" x14ac:dyDescent="0.25">
      <c r="B1172" s="247">
        <v>0</v>
      </c>
      <c r="C1172" s="247">
        <v>10</v>
      </c>
      <c r="D1172" s="247"/>
      <c r="E1172" s="247"/>
      <c r="F1172" s="247">
        <v>0</v>
      </c>
      <c r="G1172" s="246">
        <v>2</v>
      </c>
      <c r="H1172" s="247">
        <f>(F1172*G1172+F1173*G1173+F1174*G1174+F1175*G1175+F1176*G1176+F1177*G1177+F1178*G1178)/100</f>
        <v>3.165</v>
      </c>
      <c r="I1172" s="246"/>
      <c r="J1172" s="246"/>
      <c r="K1172" s="246"/>
      <c r="L1172" s="246"/>
      <c r="M1172" s="246"/>
      <c r="N1172" s="246"/>
      <c r="O1172" s="246"/>
      <c r="P1172" s="246"/>
      <c r="Q1172" s="246"/>
      <c r="R1172" s="246"/>
      <c r="S1172" s="246"/>
      <c r="T1172" s="246"/>
      <c r="U1172" s="246"/>
      <c r="V1172" s="246"/>
    </row>
    <row r="1173" spans="2:22" x14ac:dyDescent="0.25">
      <c r="B1173" s="247">
        <v>11</v>
      </c>
      <c r="C1173" s="247">
        <v>25</v>
      </c>
      <c r="D1173" s="247">
        <v>19</v>
      </c>
      <c r="E1173" s="247">
        <v>25</v>
      </c>
      <c r="F1173" s="247">
        <f t="shared" ref="F1173:F1178" si="125">E1173-D1173+1</f>
        <v>7</v>
      </c>
      <c r="G1173" s="246">
        <v>2.5</v>
      </c>
      <c r="H1173" s="247"/>
      <c r="I1173" s="246"/>
      <c r="J1173" s="246"/>
      <c r="K1173" s="246"/>
      <c r="L1173" s="246"/>
      <c r="M1173" s="246"/>
      <c r="N1173" s="246"/>
      <c r="O1173" s="246"/>
      <c r="P1173" s="246"/>
      <c r="Q1173" s="246"/>
      <c r="R1173" s="246"/>
      <c r="S1173" s="246"/>
      <c r="T1173" s="246"/>
      <c r="U1173" s="246"/>
      <c r="V1173" s="246"/>
    </row>
    <row r="1174" spans="2:22" x14ac:dyDescent="0.25">
      <c r="B1174" s="247">
        <v>26</v>
      </c>
      <c r="C1174" s="247">
        <v>55</v>
      </c>
      <c r="D1174" s="247">
        <v>26</v>
      </c>
      <c r="E1174" s="247">
        <v>55</v>
      </c>
      <c r="F1174" s="247">
        <f t="shared" si="125"/>
        <v>30</v>
      </c>
      <c r="G1174" s="246">
        <v>3</v>
      </c>
      <c r="H1174" s="247"/>
      <c r="I1174" s="246"/>
      <c r="J1174" s="246"/>
      <c r="K1174" s="246"/>
      <c r="L1174" s="246"/>
      <c r="M1174" s="246"/>
      <c r="N1174" s="246"/>
      <c r="O1174" s="246"/>
      <c r="P1174" s="246"/>
      <c r="Q1174" s="246"/>
      <c r="R1174" s="246"/>
      <c r="S1174" s="246"/>
      <c r="T1174" s="246"/>
      <c r="U1174" s="246"/>
      <c r="V1174" s="246"/>
    </row>
    <row r="1175" spans="2:22" x14ac:dyDescent="0.25">
      <c r="B1175" s="247">
        <v>56</v>
      </c>
      <c r="C1175" s="247">
        <v>85</v>
      </c>
      <c r="D1175" s="247">
        <v>56</v>
      </c>
      <c r="E1175" s="247">
        <v>85</v>
      </c>
      <c r="F1175" s="247">
        <f t="shared" si="125"/>
        <v>30</v>
      </c>
      <c r="G1175" s="246">
        <v>3</v>
      </c>
      <c r="H1175" s="247"/>
      <c r="I1175" s="246"/>
      <c r="J1175" s="246"/>
      <c r="K1175" s="246"/>
      <c r="L1175" s="246"/>
      <c r="M1175" s="246"/>
      <c r="N1175" s="246"/>
      <c r="O1175" s="246"/>
      <c r="P1175" s="246"/>
      <c r="Q1175" s="246"/>
      <c r="R1175" s="246"/>
      <c r="S1175" s="246"/>
      <c r="T1175" s="246"/>
      <c r="U1175" s="246"/>
      <c r="V1175" s="246"/>
    </row>
    <row r="1176" spans="2:22" x14ac:dyDescent="0.25">
      <c r="B1176" s="247">
        <v>86</v>
      </c>
      <c r="C1176" s="247">
        <v>100</v>
      </c>
      <c r="D1176" s="247">
        <v>86</v>
      </c>
      <c r="E1176" s="247">
        <v>100</v>
      </c>
      <c r="F1176" s="247">
        <f t="shared" si="125"/>
        <v>15</v>
      </c>
      <c r="G1176" s="246">
        <v>3.5</v>
      </c>
      <c r="H1176" s="247"/>
      <c r="I1176" s="246"/>
      <c r="J1176" s="246"/>
      <c r="K1176" s="246"/>
      <c r="L1176" s="246"/>
      <c r="M1176" s="246"/>
      <c r="N1176" s="246"/>
      <c r="O1176" s="246"/>
      <c r="P1176" s="246"/>
      <c r="Q1176" s="246"/>
      <c r="R1176" s="246"/>
      <c r="S1176" s="246"/>
      <c r="T1176" s="246"/>
      <c r="U1176" s="246"/>
      <c r="V1176" s="246"/>
    </row>
    <row r="1177" spans="2:22" x14ac:dyDescent="0.25">
      <c r="B1177" s="247">
        <v>101</v>
      </c>
      <c r="C1177" s="247">
        <v>110</v>
      </c>
      <c r="D1177" s="247">
        <v>101</v>
      </c>
      <c r="E1177" s="247">
        <v>110</v>
      </c>
      <c r="F1177" s="247">
        <f t="shared" si="125"/>
        <v>10</v>
      </c>
      <c r="G1177" s="246">
        <v>3.5</v>
      </c>
      <c r="H1177" s="247"/>
      <c r="I1177" s="246"/>
      <c r="J1177" s="246"/>
      <c r="K1177" s="246"/>
      <c r="L1177" s="246"/>
      <c r="M1177" s="246"/>
      <c r="N1177" s="246"/>
      <c r="O1177" s="246"/>
      <c r="P1177" s="246"/>
      <c r="Q1177" s="246"/>
      <c r="R1177" s="246"/>
      <c r="S1177" s="246"/>
      <c r="T1177" s="246"/>
      <c r="U1177" s="246"/>
      <c r="V1177" s="246"/>
    </row>
    <row r="1178" spans="2:22" x14ac:dyDescent="0.25">
      <c r="B1178" s="247">
        <v>111</v>
      </c>
      <c r="C1178" s="247">
        <v>120</v>
      </c>
      <c r="D1178" s="247">
        <v>111</v>
      </c>
      <c r="E1178" s="247">
        <v>119</v>
      </c>
      <c r="F1178" s="247">
        <f t="shared" si="125"/>
        <v>9</v>
      </c>
      <c r="G1178" s="246">
        <v>3.5</v>
      </c>
      <c r="H1178" s="247"/>
      <c r="I1178" s="246"/>
      <c r="J1178" s="246"/>
      <c r="K1178" s="246"/>
      <c r="L1178" s="246"/>
      <c r="M1178" s="246"/>
      <c r="N1178" s="246"/>
      <c r="O1178" s="246"/>
      <c r="P1178" s="246"/>
      <c r="Q1178" s="246"/>
      <c r="R1178" s="246"/>
      <c r="S1178" s="246"/>
      <c r="T1178" s="246"/>
      <c r="U1178" s="246"/>
      <c r="V1178" s="246"/>
    </row>
    <row r="1179" spans="2:22" x14ac:dyDescent="0.25">
      <c r="B1179" s="246"/>
      <c r="C1179" s="246"/>
      <c r="D1179" s="246"/>
      <c r="E1179" s="246"/>
      <c r="F1179" s="246"/>
      <c r="G1179" s="246"/>
      <c r="H1179" s="246"/>
      <c r="I1179" s="246"/>
      <c r="J1179" s="246"/>
      <c r="K1179" s="246"/>
      <c r="L1179" s="246"/>
      <c r="M1179" s="246"/>
      <c r="N1179" s="246"/>
      <c r="O1179" s="246"/>
      <c r="P1179" s="246"/>
      <c r="Q1179" s="246"/>
      <c r="R1179" s="246"/>
      <c r="S1179" s="246"/>
      <c r="T1179" s="246"/>
      <c r="U1179" s="246"/>
      <c r="V1179" s="246"/>
    </row>
    <row r="1180" spans="2:22" x14ac:dyDescent="0.25">
      <c r="B1180" s="386" t="s">
        <v>319</v>
      </c>
      <c r="C1180" s="386"/>
      <c r="D1180" s="386"/>
      <c r="E1180" s="386"/>
      <c r="F1180" s="386"/>
      <c r="G1180" s="247"/>
      <c r="H1180" s="247"/>
      <c r="I1180" s="246"/>
      <c r="J1180" s="246"/>
      <c r="K1180" s="246"/>
      <c r="L1180" s="246"/>
      <c r="M1180" s="246"/>
      <c r="N1180" s="246"/>
      <c r="O1180" s="246"/>
      <c r="P1180" s="246"/>
      <c r="Q1180" s="246"/>
      <c r="R1180" s="246"/>
      <c r="S1180" s="246"/>
      <c r="T1180" s="246"/>
      <c r="U1180" s="246"/>
      <c r="V1180" s="246"/>
    </row>
    <row r="1181" spans="2:22" x14ac:dyDescent="0.25">
      <c r="B1181" s="386" t="s">
        <v>254</v>
      </c>
      <c r="C1181" s="386"/>
      <c r="D1181" s="386" t="s">
        <v>254</v>
      </c>
      <c r="E1181" s="386"/>
      <c r="F1181" s="192" t="s">
        <v>313</v>
      </c>
      <c r="G1181" s="247" t="s">
        <v>314</v>
      </c>
      <c r="H1181" s="247" t="s">
        <v>316</v>
      </c>
      <c r="I1181" s="246"/>
      <c r="J1181" s="246"/>
      <c r="K1181" s="246"/>
      <c r="L1181" s="246"/>
      <c r="M1181" s="246"/>
      <c r="N1181" s="246"/>
      <c r="O1181" s="246"/>
      <c r="P1181" s="246"/>
      <c r="Q1181" s="246"/>
      <c r="R1181" s="246"/>
      <c r="S1181" s="246"/>
      <c r="T1181" s="246"/>
      <c r="U1181" s="246"/>
      <c r="V1181" s="246"/>
    </row>
    <row r="1182" spans="2:22" x14ac:dyDescent="0.25">
      <c r="B1182" s="247">
        <v>0</v>
      </c>
      <c r="C1182" s="247">
        <v>10</v>
      </c>
      <c r="D1182" s="247"/>
      <c r="E1182" s="247"/>
      <c r="F1182" s="247">
        <v>0</v>
      </c>
      <c r="G1182" s="246">
        <v>2</v>
      </c>
      <c r="H1182" s="247">
        <f>(F1182*G1182+F1183*G1183+F1184*G1184+F1185*G1185+F1186*G1186+F1187*G1187+F1188*G1188)/100</f>
        <v>3.1749999999999998</v>
      </c>
      <c r="I1182" s="246"/>
      <c r="J1182" s="246"/>
      <c r="K1182" s="246"/>
      <c r="L1182" s="246"/>
      <c r="M1182" s="246"/>
      <c r="N1182" s="246"/>
      <c r="O1182" s="246"/>
      <c r="P1182" s="246"/>
      <c r="Q1182" s="246"/>
      <c r="R1182" s="246"/>
      <c r="S1182" s="246"/>
      <c r="T1182" s="246"/>
      <c r="U1182" s="246"/>
      <c r="V1182" s="246"/>
    </row>
    <row r="1183" spans="2:22" x14ac:dyDescent="0.25">
      <c r="B1183" s="247">
        <v>11</v>
      </c>
      <c r="C1183" s="247">
        <v>25</v>
      </c>
      <c r="D1183" s="247">
        <v>20</v>
      </c>
      <c r="E1183" s="247">
        <v>25</v>
      </c>
      <c r="F1183" s="247">
        <f t="shared" ref="F1183:F1188" si="126">E1183-D1183+1</f>
        <v>6</v>
      </c>
      <c r="G1183" s="246">
        <v>2.5</v>
      </c>
      <c r="H1183" s="247"/>
      <c r="I1183" s="246"/>
      <c r="J1183" s="246"/>
      <c r="K1183" s="246"/>
      <c r="L1183" s="246"/>
      <c r="M1183" s="246"/>
      <c r="N1183" s="246"/>
      <c r="O1183" s="246"/>
      <c r="P1183" s="246"/>
      <c r="Q1183" s="246"/>
      <c r="R1183" s="246"/>
      <c r="S1183" s="246"/>
      <c r="T1183" s="246"/>
      <c r="U1183" s="246"/>
      <c r="V1183" s="246"/>
    </row>
    <row r="1184" spans="2:22" x14ac:dyDescent="0.25">
      <c r="B1184" s="247">
        <v>26</v>
      </c>
      <c r="C1184" s="247">
        <v>55</v>
      </c>
      <c r="D1184" s="247">
        <v>26</v>
      </c>
      <c r="E1184" s="247">
        <v>55</v>
      </c>
      <c r="F1184" s="247">
        <f t="shared" si="126"/>
        <v>30</v>
      </c>
      <c r="G1184" s="246">
        <v>3</v>
      </c>
      <c r="H1184" s="247"/>
      <c r="I1184" s="246"/>
      <c r="J1184" s="246"/>
      <c r="K1184" s="246"/>
      <c r="L1184" s="246"/>
      <c r="M1184" s="246"/>
      <c r="N1184" s="246"/>
      <c r="O1184" s="246"/>
      <c r="P1184" s="246"/>
      <c r="Q1184" s="246"/>
      <c r="R1184" s="246"/>
      <c r="S1184" s="246"/>
      <c r="T1184" s="246"/>
      <c r="U1184" s="246"/>
      <c r="V1184" s="246"/>
    </row>
    <row r="1185" spans="2:22" x14ac:dyDescent="0.25">
      <c r="B1185" s="247">
        <v>56</v>
      </c>
      <c r="C1185" s="247">
        <v>85</v>
      </c>
      <c r="D1185" s="247">
        <v>56</v>
      </c>
      <c r="E1185" s="247">
        <v>85</v>
      </c>
      <c r="F1185" s="247">
        <f t="shared" si="126"/>
        <v>30</v>
      </c>
      <c r="G1185" s="246">
        <v>3</v>
      </c>
      <c r="H1185" s="247"/>
      <c r="I1185" s="246"/>
      <c r="J1185" s="246"/>
      <c r="K1185" s="246"/>
      <c r="L1185" s="246"/>
      <c r="M1185" s="246"/>
      <c r="N1185" s="246"/>
      <c r="O1185" s="246"/>
      <c r="P1185" s="246"/>
      <c r="Q1185" s="246"/>
      <c r="R1185" s="246"/>
      <c r="S1185" s="246"/>
      <c r="T1185" s="246"/>
      <c r="U1185" s="246"/>
      <c r="V1185" s="246"/>
    </row>
    <row r="1186" spans="2:22" x14ac:dyDescent="0.25">
      <c r="B1186" s="247">
        <v>86</v>
      </c>
      <c r="C1186" s="247">
        <v>100</v>
      </c>
      <c r="D1186" s="247">
        <v>86</v>
      </c>
      <c r="E1186" s="247">
        <v>100</v>
      </c>
      <c r="F1186" s="247">
        <f t="shared" si="126"/>
        <v>15</v>
      </c>
      <c r="G1186" s="246">
        <v>3.5</v>
      </c>
      <c r="H1186" s="247"/>
      <c r="I1186" s="246"/>
      <c r="J1186" s="246"/>
      <c r="K1186" s="246"/>
      <c r="L1186" s="246"/>
      <c r="M1186" s="246"/>
      <c r="N1186" s="246"/>
      <c r="O1186" s="246"/>
      <c r="P1186" s="246"/>
      <c r="Q1186" s="246"/>
      <c r="R1186" s="246"/>
      <c r="S1186" s="246"/>
      <c r="T1186" s="246"/>
      <c r="U1186" s="246"/>
      <c r="V1186" s="246"/>
    </row>
    <row r="1187" spans="2:22" x14ac:dyDescent="0.25">
      <c r="B1187" s="247">
        <v>101</v>
      </c>
      <c r="C1187" s="247">
        <v>110</v>
      </c>
      <c r="D1187" s="247">
        <v>101</v>
      </c>
      <c r="E1187" s="247">
        <v>110</v>
      </c>
      <c r="F1187" s="247">
        <f t="shared" si="126"/>
        <v>10</v>
      </c>
      <c r="G1187" s="246">
        <v>3.5</v>
      </c>
      <c r="H1187" s="247"/>
      <c r="I1187" s="246"/>
      <c r="J1187" s="246"/>
      <c r="K1187" s="246"/>
      <c r="L1187" s="246"/>
      <c r="M1187" s="246"/>
      <c r="N1187" s="246"/>
      <c r="O1187" s="246"/>
      <c r="P1187" s="246"/>
      <c r="Q1187" s="246"/>
      <c r="R1187" s="246"/>
      <c r="S1187" s="246"/>
      <c r="T1187" s="246"/>
      <c r="U1187" s="246"/>
      <c r="V1187" s="246"/>
    </row>
    <row r="1188" spans="2:22" x14ac:dyDescent="0.25">
      <c r="B1188" s="247">
        <v>111</v>
      </c>
      <c r="C1188" s="247">
        <v>120</v>
      </c>
      <c r="D1188" s="247">
        <v>111</v>
      </c>
      <c r="E1188" s="247">
        <v>120</v>
      </c>
      <c r="F1188" s="247">
        <f t="shared" si="126"/>
        <v>10</v>
      </c>
      <c r="G1188" s="246">
        <v>3.5</v>
      </c>
      <c r="H1188" s="247"/>
      <c r="I1188" s="246"/>
      <c r="J1188" s="246"/>
      <c r="K1188" s="246"/>
      <c r="L1188" s="246"/>
      <c r="M1188" s="246"/>
      <c r="N1188" s="246"/>
      <c r="O1188" s="246"/>
      <c r="P1188" s="246"/>
      <c r="Q1188" s="246"/>
      <c r="R1188" s="246"/>
      <c r="S1188" s="246"/>
      <c r="T1188" s="246"/>
      <c r="U1188" s="246"/>
      <c r="V1188" s="246"/>
    </row>
    <row r="1189" spans="2:22" x14ac:dyDescent="0.25">
      <c r="B1189" s="246"/>
      <c r="C1189" s="246"/>
      <c r="D1189" s="246"/>
      <c r="E1189" s="246"/>
      <c r="F1189" s="246"/>
      <c r="G1189" s="246"/>
      <c r="H1189" s="246"/>
      <c r="I1189" s="246"/>
      <c r="J1189" s="246"/>
      <c r="K1189" s="246"/>
      <c r="L1189" s="246"/>
      <c r="M1189" s="246"/>
      <c r="N1189" s="246"/>
      <c r="O1189" s="246"/>
      <c r="P1189" s="246"/>
      <c r="Q1189" s="246"/>
      <c r="R1189" s="246"/>
      <c r="S1189" s="246"/>
      <c r="T1189" s="246"/>
      <c r="U1189" s="246"/>
      <c r="V1189" s="246"/>
    </row>
    <row r="1190" spans="2:22" x14ac:dyDescent="0.25">
      <c r="B1190" s="386" t="s">
        <v>337</v>
      </c>
      <c r="C1190" s="386"/>
      <c r="D1190" s="386"/>
      <c r="E1190" s="386"/>
      <c r="F1190" s="386"/>
      <c r="G1190" s="247"/>
      <c r="H1190" s="247"/>
      <c r="I1190" s="246"/>
      <c r="J1190" s="246"/>
      <c r="K1190" s="246"/>
      <c r="L1190" s="246"/>
      <c r="M1190" s="246"/>
      <c r="N1190" s="246"/>
      <c r="O1190" s="246"/>
      <c r="P1190" s="246"/>
      <c r="Q1190" s="246"/>
      <c r="R1190" s="246"/>
      <c r="S1190" s="246"/>
      <c r="T1190" s="246"/>
      <c r="U1190" s="246"/>
      <c r="V1190" s="246"/>
    </row>
    <row r="1191" spans="2:22" x14ac:dyDescent="0.25">
      <c r="B1191" s="386" t="s">
        <v>254</v>
      </c>
      <c r="C1191" s="386"/>
      <c r="D1191" s="386" t="s">
        <v>254</v>
      </c>
      <c r="E1191" s="386"/>
      <c r="F1191" s="192" t="s">
        <v>313</v>
      </c>
      <c r="G1191" s="247" t="s">
        <v>314</v>
      </c>
      <c r="H1191" s="247" t="s">
        <v>316</v>
      </c>
      <c r="I1191" s="246"/>
      <c r="J1191" s="246"/>
      <c r="K1191" s="246"/>
      <c r="L1191" s="246"/>
      <c r="M1191" s="246"/>
      <c r="N1191" s="246"/>
      <c r="O1191" s="246"/>
      <c r="P1191" s="246"/>
      <c r="Q1191" s="246"/>
      <c r="R1191" s="246"/>
      <c r="S1191" s="246"/>
      <c r="T1191" s="246"/>
      <c r="U1191" s="246"/>
      <c r="V1191" s="246"/>
    </row>
    <row r="1192" spans="2:22" x14ac:dyDescent="0.25">
      <c r="B1192" s="247">
        <v>0</v>
      </c>
      <c r="C1192" s="247">
        <v>10</v>
      </c>
      <c r="D1192" s="247"/>
      <c r="E1192" s="247"/>
      <c r="F1192" s="247">
        <v>0</v>
      </c>
      <c r="G1192" s="246">
        <v>2</v>
      </c>
      <c r="H1192" s="247">
        <f>(F1192*G1192+F1193*G1193+F1194*G1194+F1195*G1195+F1196*G1196+F1197*G1197+F1198*G1198)/100</f>
        <v>3.1850000000000001</v>
      </c>
      <c r="I1192" s="246"/>
      <c r="J1192" s="246"/>
      <c r="K1192" s="246"/>
      <c r="L1192" s="246"/>
      <c r="M1192" s="246"/>
      <c r="N1192" s="246"/>
      <c r="O1192" s="246"/>
      <c r="P1192" s="246"/>
      <c r="Q1192" s="246"/>
      <c r="R1192" s="246"/>
      <c r="S1192" s="246"/>
      <c r="T1192" s="246"/>
      <c r="U1192" s="246"/>
      <c r="V1192" s="246"/>
    </row>
    <row r="1193" spans="2:22" x14ac:dyDescent="0.25">
      <c r="B1193" s="247">
        <v>11</v>
      </c>
      <c r="C1193" s="247">
        <v>25</v>
      </c>
      <c r="D1193" s="247">
        <v>21</v>
      </c>
      <c r="E1193" s="247">
        <v>25</v>
      </c>
      <c r="F1193" s="247">
        <f t="shared" ref="F1193:F1198" si="127">E1193-D1193+1</f>
        <v>5</v>
      </c>
      <c r="G1193" s="246">
        <v>2.5</v>
      </c>
      <c r="H1193" s="247"/>
      <c r="I1193" s="246"/>
      <c r="J1193" s="246"/>
      <c r="K1193" s="246"/>
      <c r="L1193" s="246"/>
      <c r="M1193" s="246"/>
      <c r="N1193" s="246"/>
      <c r="O1193" s="246"/>
      <c r="P1193" s="246"/>
      <c r="Q1193" s="246"/>
      <c r="R1193" s="246"/>
      <c r="S1193" s="246"/>
      <c r="T1193" s="246"/>
      <c r="U1193" s="246"/>
      <c r="V1193" s="246"/>
    </row>
    <row r="1194" spans="2:22" x14ac:dyDescent="0.25">
      <c r="B1194" s="247">
        <v>26</v>
      </c>
      <c r="C1194" s="247">
        <v>55</v>
      </c>
      <c r="D1194" s="247">
        <v>26</v>
      </c>
      <c r="E1194" s="247">
        <v>55</v>
      </c>
      <c r="F1194" s="247">
        <f t="shared" si="127"/>
        <v>30</v>
      </c>
      <c r="G1194" s="246">
        <v>3</v>
      </c>
      <c r="H1194" s="247"/>
      <c r="I1194" s="246"/>
      <c r="J1194" s="246"/>
      <c r="K1194" s="246"/>
      <c r="L1194" s="246"/>
      <c r="M1194" s="246"/>
      <c r="N1194" s="246"/>
      <c r="O1194" s="246"/>
      <c r="P1194" s="246"/>
      <c r="Q1194" s="246"/>
      <c r="R1194" s="246"/>
      <c r="S1194" s="246"/>
      <c r="T1194" s="246"/>
      <c r="U1194" s="246"/>
      <c r="V1194" s="246"/>
    </row>
    <row r="1195" spans="2:22" x14ac:dyDescent="0.25">
      <c r="B1195" s="247">
        <v>56</v>
      </c>
      <c r="C1195" s="247">
        <v>85</v>
      </c>
      <c r="D1195" s="247">
        <v>56</v>
      </c>
      <c r="E1195" s="247">
        <v>85</v>
      </c>
      <c r="F1195" s="247">
        <f t="shared" si="127"/>
        <v>30</v>
      </c>
      <c r="G1195" s="246">
        <v>3</v>
      </c>
      <c r="H1195" s="247"/>
      <c r="I1195" s="246"/>
      <c r="J1195" s="246"/>
      <c r="K1195" s="246"/>
      <c r="L1195" s="246"/>
      <c r="M1195" s="246"/>
      <c r="N1195" s="246"/>
      <c r="O1195" s="246"/>
      <c r="P1195" s="246"/>
      <c r="Q1195" s="246"/>
      <c r="R1195" s="246"/>
      <c r="S1195" s="246"/>
      <c r="T1195" s="246"/>
      <c r="U1195" s="246"/>
      <c r="V1195" s="246"/>
    </row>
    <row r="1196" spans="2:22" x14ac:dyDescent="0.25">
      <c r="B1196" s="247">
        <v>86</v>
      </c>
      <c r="C1196" s="247">
        <v>100</v>
      </c>
      <c r="D1196" s="247">
        <v>86</v>
      </c>
      <c r="E1196" s="247">
        <v>100</v>
      </c>
      <c r="F1196" s="247">
        <f t="shared" si="127"/>
        <v>15</v>
      </c>
      <c r="G1196" s="246">
        <v>3.5</v>
      </c>
      <c r="H1196" s="247"/>
      <c r="I1196" s="246"/>
      <c r="J1196" s="246"/>
      <c r="K1196" s="246"/>
      <c r="L1196" s="246"/>
      <c r="M1196" s="246"/>
      <c r="N1196" s="246"/>
      <c r="O1196" s="246"/>
      <c r="P1196" s="246"/>
      <c r="Q1196" s="246"/>
      <c r="R1196" s="246"/>
      <c r="S1196" s="246"/>
      <c r="T1196" s="246"/>
      <c r="U1196" s="246"/>
      <c r="V1196" s="246"/>
    </row>
    <row r="1197" spans="2:22" x14ac:dyDescent="0.25">
      <c r="B1197" s="247">
        <v>101</v>
      </c>
      <c r="C1197" s="247">
        <v>110</v>
      </c>
      <c r="D1197" s="247">
        <v>101</v>
      </c>
      <c r="E1197" s="247">
        <v>110</v>
      </c>
      <c r="F1197" s="247">
        <f t="shared" si="127"/>
        <v>10</v>
      </c>
      <c r="G1197" s="246">
        <v>3.5</v>
      </c>
      <c r="H1197" s="247"/>
      <c r="I1197" s="246"/>
      <c r="J1197" s="246"/>
      <c r="K1197" s="246"/>
      <c r="L1197" s="246"/>
      <c r="M1197" s="246"/>
      <c r="N1197" s="246"/>
      <c r="O1197" s="246"/>
      <c r="P1197" s="246"/>
      <c r="Q1197" s="246"/>
      <c r="R1197" s="246"/>
      <c r="S1197" s="246"/>
      <c r="T1197" s="246"/>
      <c r="U1197" s="246"/>
      <c r="V1197" s="246"/>
    </row>
    <row r="1198" spans="2:22" x14ac:dyDescent="0.25">
      <c r="B1198" s="247">
        <v>111</v>
      </c>
      <c r="C1198" s="247">
        <v>120</v>
      </c>
      <c r="D1198" s="247">
        <v>111</v>
      </c>
      <c r="E1198" s="247">
        <v>121</v>
      </c>
      <c r="F1198" s="247">
        <f t="shared" si="127"/>
        <v>11</v>
      </c>
      <c r="G1198" s="246">
        <v>3.5</v>
      </c>
      <c r="H1198" s="247"/>
      <c r="I1198" s="246"/>
      <c r="J1198" s="246"/>
      <c r="K1198" s="246"/>
      <c r="L1198" s="246"/>
      <c r="M1198" s="246"/>
      <c r="N1198" s="246"/>
      <c r="O1198" s="246"/>
      <c r="P1198" s="246"/>
      <c r="Q1198" s="246"/>
      <c r="R1198" s="246"/>
      <c r="S1198" s="246"/>
      <c r="T1198" s="246"/>
      <c r="U1198" s="246"/>
      <c r="V1198" s="246"/>
    </row>
    <row r="1199" spans="2:22" x14ac:dyDescent="0.25">
      <c r="B1199" s="246"/>
      <c r="C1199" s="246"/>
      <c r="D1199" s="246"/>
      <c r="E1199" s="246"/>
      <c r="F1199" s="246"/>
      <c r="G1199" s="246"/>
      <c r="H1199" s="246"/>
      <c r="I1199" s="246"/>
      <c r="J1199" s="246"/>
      <c r="K1199" s="246"/>
      <c r="L1199" s="246"/>
      <c r="M1199" s="246"/>
      <c r="N1199" s="246"/>
      <c r="O1199" s="246"/>
      <c r="P1199" s="246"/>
      <c r="Q1199" s="246"/>
      <c r="R1199" s="246"/>
      <c r="S1199" s="246"/>
      <c r="T1199" s="246"/>
      <c r="U1199" s="246"/>
      <c r="V1199" s="246"/>
    </row>
    <row r="1200" spans="2:22" x14ac:dyDescent="0.25">
      <c r="B1200" s="386" t="s">
        <v>338</v>
      </c>
      <c r="C1200" s="386"/>
      <c r="D1200" s="386"/>
      <c r="E1200" s="386"/>
      <c r="F1200" s="386"/>
      <c r="G1200" s="247"/>
      <c r="H1200" s="247"/>
      <c r="I1200" s="246"/>
      <c r="J1200" s="246"/>
      <c r="K1200" s="246"/>
      <c r="L1200" s="246"/>
      <c r="M1200" s="246"/>
      <c r="N1200" s="246"/>
      <c r="O1200" s="246"/>
      <c r="P1200" s="246"/>
      <c r="Q1200" s="246"/>
      <c r="R1200" s="246"/>
      <c r="S1200" s="246"/>
      <c r="T1200" s="246"/>
      <c r="U1200" s="246"/>
      <c r="V1200" s="246"/>
    </row>
    <row r="1201" spans="2:22" x14ac:dyDescent="0.25">
      <c r="B1201" s="386" t="s">
        <v>254</v>
      </c>
      <c r="C1201" s="386"/>
      <c r="D1201" s="386" t="s">
        <v>254</v>
      </c>
      <c r="E1201" s="386"/>
      <c r="F1201" s="192" t="s">
        <v>313</v>
      </c>
      <c r="G1201" s="247" t="s">
        <v>314</v>
      </c>
      <c r="H1201" s="247" t="s">
        <v>316</v>
      </c>
      <c r="I1201" s="246"/>
      <c r="J1201" s="246"/>
      <c r="K1201" s="246"/>
      <c r="L1201" s="246"/>
      <c r="M1201" s="246"/>
      <c r="N1201" s="246"/>
      <c r="O1201" s="246"/>
      <c r="P1201" s="246"/>
      <c r="Q1201" s="246"/>
      <c r="R1201" s="246"/>
      <c r="S1201" s="246"/>
      <c r="T1201" s="246"/>
      <c r="U1201" s="246"/>
      <c r="V1201" s="246"/>
    </row>
    <row r="1202" spans="2:22" x14ac:dyDescent="0.25">
      <c r="B1202" s="247">
        <v>0</v>
      </c>
      <c r="C1202" s="247">
        <v>10</v>
      </c>
      <c r="D1202" s="247"/>
      <c r="E1202" s="247"/>
      <c r="F1202" s="247">
        <v>0</v>
      </c>
      <c r="G1202" s="246">
        <v>2</v>
      </c>
      <c r="H1202" s="247">
        <f>(F1202*G1202+F1203*G1203+F1204*G1204+F1205*G1205+F1206*G1206+F1207*G1207+F1208*G1208)/100</f>
        <v>3.1949999999999998</v>
      </c>
      <c r="I1202" s="246"/>
      <c r="J1202" s="246"/>
      <c r="K1202" s="246"/>
      <c r="L1202" s="246"/>
      <c r="M1202" s="246"/>
      <c r="N1202" s="246"/>
      <c r="O1202" s="246"/>
      <c r="P1202" s="246"/>
      <c r="Q1202" s="246"/>
      <c r="R1202" s="246"/>
      <c r="S1202" s="246"/>
      <c r="T1202" s="246"/>
      <c r="U1202" s="246"/>
      <c r="V1202" s="246"/>
    </row>
    <row r="1203" spans="2:22" x14ac:dyDescent="0.25">
      <c r="B1203" s="247">
        <v>11</v>
      </c>
      <c r="C1203" s="247">
        <v>25</v>
      </c>
      <c r="D1203" s="247">
        <v>22</v>
      </c>
      <c r="E1203" s="247">
        <v>25</v>
      </c>
      <c r="F1203" s="247">
        <f t="shared" ref="F1203:F1208" si="128">E1203-D1203+1</f>
        <v>4</v>
      </c>
      <c r="G1203" s="246">
        <v>2.5</v>
      </c>
      <c r="H1203" s="247"/>
      <c r="I1203" s="246"/>
      <c r="J1203" s="246"/>
      <c r="K1203" s="246"/>
      <c r="L1203" s="246"/>
      <c r="M1203" s="246"/>
      <c r="N1203" s="246"/>
      <c r="O1203" s="246"/>
      <c r="P1203" s="246"/>
      <c r="Q1203" s="246"/>
      <c r="R1203" s="246"/>
      <c r="S1203" s="246"/>
      <c r="T1203" s="246"/>
      <c r="U1203" s="246"/>
      <c r="V1203" s="246"/>
    </row>
    <row r="1204" spans="2:22" x14ac:dyDescent="0.25">
      <c r="B1204" s="247">
        <v>26</v>
      </c>
      <c r="C1204" s="247">
        <v>55</v>
      </c>
      <c r="D1204" s="247">
        <v>26</v>
      </c>
      <c r="E1204" s="247">
        <v>55</v>
      </c>
      <c r="F1204" s="247">
        <f t="shared" si="128"/>
        <v>30</v>
      </c>
      <c r="G1204" s="246">
        <v>3</v>
      </c>
      <c r="H1204" s="247"/>
      <c r="I1204" s="246"/>
      <c r="J1204" s="246"/>
      <c r="K1204" s="246"/>
      <c r="L1204" s="246"/>
      <c r="M1204" s="246"/>
      <c r="N1204" s="246"/>
      <c r="O1204" s="246"/>
      <c r="P1204" s="246"/>
      <c r="Q1204" s="246"/>
      <c r="R1204" s="246"/>
      <c r="S1204" s="246"/>
      <c r="T1204" s="246"/>
      <c r="U1204" s="246"/>
      <c r="V1204" s="246"/>
    </row>
    <row r="1205" spans="2:22" x14ac:dyDescent="0.25">
      <c r="B1205" s="247">
        <v>56</v>
      </c>
      <c r="C1205" s="247">
        <v>85</v>
      </c>
      <c r="D1205" s="247">
        <v>56</v>
      </c>
      <c r="E1205" s="247">
        <v>85</v>
      </c>
      <c r="F1205" s="247">
        <f t="shared" si="128"/>
        <v>30</v>
      </c>
      <c r="G1205" s="246">
        <v>3</v>
      </c>
      <c r="H1205" s="247"/>
      <c r="I1205" s="246"/>
      <c r="J1205" s="246"/>
      <c r="K1205" s="246"/>
      <c r="L1205" s="246"/>
      <c r="M1205" s="246"/>
      <c r="N1205" s="246"/>
      <c r="O1205" s="246"/>
      <c r="P1205" s="246"/>
      <c r="Q1205" s="246"/>
      <c r="R1205" s="246"/>
      <c r="S1205" s="246"/>
      <c r="T1205" s="246"/>
      <c r="U1205" s="246"/>
      <c r="V1205" s="246"/>
    </row>
    <row r="1206" spans="2:22" x14ac:dyDescent="0.25">
      <c r="B1206" s="247">
        <v>86</v>
      </c>
      <c r="C1206" s="247">
        <v>100</v>
      </c>
      <c r="D1206" s="247">
        <v>86</v>
      </c>
      <c r="E1206" s="247">
        <v>100</v>
      </c>
      <c r="F1206" s="247">
        <f t="shared" si="128"/>
        <v>15</v>
      </c>
      <c r="G1206" s="246">
        <v>3.5</v>
      </c>
      <c r="H1206" s="247"/>
      <c r="I1206" s="246"/>
      <c r="J1206" s="246"/>
      <c r="K1206" s="246"/>
      <c r="L1206" s="246"/>
      <c r="M1206" s="246"/>
      <c r="N1206" s="246"/>
      <c r="O1206" s="246"/>
      <c r="P1206" s="246"/>
      <c r="Q1206" s="246"/>
      <c r="R1206" s="246"/>
      <c r="S1206" s="246"/>
      <c r="T1206" s="246"/>
      <c r="U1206" s="246"/>
      <c r="V1206" s="246"/>
    </row>
    <row r="1207" spans="2:22" x14ac:dyDescent="0.25">
      <c r="B1207" s="247">
        <v>101</v>
      </c>
      <c r="C1207" s="247">
        <v>110</v>
      </c>
      <c r="D1207" s="247">
        <v>101</v>
      </c>
      <c r="E1207" s="247">
        <v>110</v>
      </c>
      <c r="F1207" s="247">
        <f t="shared" si="128"/>
        <v>10</v>
      </c>
      <c r="G1207" s="246">
        <v>3.5</v>
      </c>
      <c r="H1207" s="247"/>
      <c r="I1207" s="246"/>
      <c r="J1207" s="246"/>
      <c r="K1207" s="246"/>
      <c r="L1207" s="246"/>
      <c r="M1207" s="246"/>
      <c r="N1207" s="246"/>
      <c r="O1207" s="246"/>
      <c r="P1207" s="246"/>
      <c r="Q1207" s="246"/>
      <c r="R1207" s="246"/>
      <c r="S1207" s="246"/>
      <c r="T1207" s="246"/>
      <c r="U1207" s="246"/>
      <c r="V1207" s="246"/>
    </row>
    <row r="1208" spans="2:22" x14ac:dyDescent="0.25">
      <c r="B1208" s="247">
        <v>111</v>
      </c>
      <c r="C1208" s="247">
        <v>120</v>
      </c>
      <c r="D1208" s="247">
        <v>111</v>
      </c>
      <c r="E1208" s="247">
        <v>122</v>
      </c>
      <c r="F1208" s="247">
        <f t="shared" si="128"/>
        <v>12</v>
      </c>
      <c r="G1208" s="246">
        <v>3.5</v>
      </c>
      <c r="H1208" s="247"/>
      <c r="I1208" s="246"/>
      <c r="J1208" s="246"/>
      <c r="K1208" s="246"/>
      <c r="L1208" s="246"/>
      <c r="M1208" s="246"/>
      <c r="N1208" s="246"/>
      <c r="O1208" s="246"/>
      <c r="P1208" s="246"/>
      <c r="Q1208" s="246"/>
      <c r="R1208" s="246"/>
      <c r="S1208" s="246"/>
      <c r="T1208" s="246"/>
      <c r="U1208" s="246"/>
      <c r="V1208" s="246"/>
    </row>
    <row r="1209" spans="2:22" x14ac:dyDescent="0.25">
      <c r="B1209" s="246"/>
      <c r="C1209" s="246"/>
      <c r="D1209" s="246"/>
      <c r="E1209" s="246"/>
      <c r="F1209" s="246"/>
      <c r="G1209" s="246"/>
      <c r="H1209" s="246"/>
      <c r="I1209" s="246"/>
      <c r="J1209" s="246"/>
      <c r="K1209" s="246"/>
      <c r="L1209" s="246"/>
      <c r="M1209" s="246"/>
      <c r="N1209" s="246"/>
      <c r="O1209" s="246"/>
      <c r="P1209" s="246"/>
      <c r="Q1209" s="246"/>
      <c r="R1209" s="246"/>
      <c r="S1209" s="246"/>
      <c r="T1209" s="246"/>
      <c r="U1209" s="246"/>
      <c r="V1209" s="246"/>
    </row>
    <row r="1210" spans="2:22" x14ac:dyDescent="0.25">
      <c r="B1210" s="386" t="s">
        <v>339</v>
      </c>
      <c r="C1210" s="386"/>
      <c r="D1210" s="386"/>
      <c r="E1210" s="386"/>
      <c r="F1210" s="386"/>
      <c r="G1210" s="247"/>
      <c r="H1210" s="247"/>
      <c r="I1210" s="246"/>
      <c r="J1210" s="246"/>
      <c r="K1210" s="246"/>
      <c r="L1210" s="246"/>
      <c r="M1210" s="246"/>
      <c r="N1210" s="246"/>
      <c r="O1210" s="246"/>
      <c r="P1210" s="246"/>
      <c r="Q1210" s="246"/>
      <c r="R1210" s="246"/>
      <c r="S1210" s="246"/>
      <c r="T1210" s="246"/>
      <c r="U1210" s="246"/>
      <c r="V1210" s="246"/>
    </row>
    <row r="1211" spans="2:22" x14ac:dyDescent="0.25">
      <c r="B1211" s="386" t="s">
        <v>254</v>
      </c>
      <c r="C1211" s="386"/>
      <c r="D1211" s="386" t="s">
        <v>254</v>
      </c>
      <c r="E1211" s="386"/>
      <c r="F1211" s="192" t="s">
        <v>313</v>
      </c>
      <c r="G1211" s="247" t="s">
        <v>314</v>
      </c>
      <c r="H1211" s="247" t="s">
        <v>316</v>
      </c>
      <c r="I1211" s="246"/>
      <c r="J1211" s="246"/>
      <c r="K1211" s="246"/>
      <c r="L1211" s="246"/>
      <c r="M1211" s="246"/>
      <c r="N1211" s="246"/>
      <c r="O1211" s="246"/>
      <c r="P1211" s="246"/>
      <c r="Q1211" s="246"/>
      <c r="R1211" s="246"/>
      <c r="S1211" s="246"/>
      <c r="T1211" s="246"/>
      <c r="U1211" s="246"/>
      <c r="V1211" s="246"/>
    </row>
    <row r="1212" spans="2:22" x14ac:dyDescent="0.25">
      <c r="B1212" s="247">
        <v>0</v>
      </c>
      <c r="C1212" s="247">
        <v>10</v>
      </c>
      <c r="D1212" s="247"/>
      <c r="E1212" s="247"/>
      <c r="F1212" s="247">
        <v>0</v>
      </c>
      <c r="G1212" s="246">
        <v>2</v>
      </c>
      <c r="H1212" s="247">
        <f>(F1212*G1212+F1213*G1213+F1214*G1214+F1215*G1215+F1216*G1216+F1217*G1217+F1218*G1218)/100</f>
        <v>3.2050000000000001</v>
      </c>
      <c r="I1212" s="246"/>
      <c r="J1212" s="246"/>
      <c r="K1212" s="246"/>
      <c r="L1212" s="246"/>
      <c r="M1212" s="246"/>
      <c r="N1212" s="246"/>
      <c r="O1212" s="246"/>
      <c r="P1212" s="246"/>
      <c r="Q1212" s="246"/>
      <c r="R1212" s="246"/>
      <c r="S1212" s="246"/>
      <c r="T1212" s="246"/>
      <c r="U1212" s="246"/>
      <c r="V1212" s="246"/>
    </row>
    <row r="1213" spans="2:22" x14ac:dyDescent="0.25">
      <c r="B1213" s="247">
        <v>11</v>
      </c>
      <c r="C1213" s="247">
        <v>25</v>
      </c>
      <c r="D1213" s="247">
        <v>23</v>
      </c>
      <c r="E1213" s="247">
        <v>25</v>
      </c>
      <c r="F1213" s="247">
        <f t="shared" ref="F1213:F1218" si="129">E1213-D1213+1</f>
        <v>3</v>
      </c>
      <c r="G1213" s="246">
        <v>2.5</v>
      </c>
      <c r="H1213" s="247"/>
      <c r="I1213" s="246"/>
      <c r="J1213" s="246"/>
      <c r="K1213" s="246"/>
      <c r="L1213" s="246"/>
      <c r="M1213" s="246"/>
      <c r="N1213" s="246"/>
      <c r="O1213" s="246"/>
      <c r="P1213" s="246"/>
      <c r="Q1213" s="246"/>
      <c r="R1213" s="246"/>
      <c r="S1213" s="246"/>
      <c r="T1213" s="246"/>
      <c r="U1213" s="246"/>
      <c r="V1213" s="246"/>
    </row>
    <row r="1214" spans="2:22" x14ac:dyDescent="0.25">
      <c r="B1214" s="247">
        <v>26</v>
      </c>
      <c r="C1214" s="247">
        <v>55</v>
      </c>
      <c r="D1214" s="247">
        <v>26</v>
      </c>
      <c r="E1214" s="247">
        <v>55</v>
      </c>
      <c r="F1214" s="247">
        <f t="shared" si="129"/>
        <v>30</v>
      </c>
      <c r="G1214" s="246">
        <v>3</v>
      </c>
      <c r="H1214" s="247"/>
      <c r="I1214" s="246"/>
      <c r="J1214" s="246"/>
      <c r="K1214" s="246"/>
      <c r="L1214" s="246"/>
      <c r="M1214" s="246"/>
      <c r="N1214" s="246"/>
      <c r="O1214" s="246"/>
      <c r="P1214" s="246"/>
      <c r="Q1214" s="246"/>
      <c r="R1214" s="246"/>
      <c r="S1214" s="246"/>
      <c r="T1214" s="246"/>
      <c r="U1214" s="246"/>
      <c r="V1214" s="246"/>
    </row>
    <row r="1215" spans="2:22" x14ac:dyDescent="0.25">
      <c r="B1215" s="247">
        <v>56</v>
      </c>
      <c r="C1215" s="247">
        <v>85</v>
      </c>
      <c r="D1215" s="247">
        <v>56</v>
      </c>
      <c r="E1215" s="247">
        <v>85</v>
      </c>
      <c r="F1215" s="247">
        <f t="shared" si="129"/>
        <v>30</v>
      </c>
      <c r="G1215" s="246">
        <v>3</v>
      </c>
      <c r="H1215" s="247"/>
      <c r="I1215" s="246"/>
      <c r="J1215" s="246"/>
      <c r="K1215" s="246"/>
      <c r="L1215" s="246"/>
      <c r="M1215" s="246"/>
      <c r="N1215" s="246"/>
      <c r="O1215" s="246"/>
      <c r="P1215" s="246"/>
      <c r="Q1215" s="246"/>
      <c r="R1215" s="246"/>
      <c r="S1215" s="246"/>
      <c r="T1215" s="246"/>
      <c r="U1215" s="246"/>
      <c r="V1215" s="246"/>
    </row>
    <row r="1216" spans="2:22" x14ac:dyDescent="0.25">
      <c r="B1216" s="247">
        <v>86</v>
      </c>
      <c r="C1216" s="247">
        <v>100</v>
      </c>
      <c r="D1216" s="247">
        <v>86</v>
      </c>
      <c r="E1216" s="247">
        <v>100</v>
      </c>
      <c r="F1216" s="247">
        <f t="shared" si="129"/>
        <v>15</v>
      </c>
      <c r="G1216" s="246">
        <v>3.5</v>
      </c>
      <c r="H1216" s="247"/>
      <c r="I1216" s="246"/>
      <c r="J1216" s="246"/>
      <c r="K1216" s="246"/>
      <c r="L1216" s="246"/>
      <c r="M1216" s="246"/>
      <c r="N1216" s="246"/>
      <c r="O1216" s="246"/>
      <c r="P1216" s="246"/>
      <c r="Q1216" s="246"/>
      <c r="R1216" s="246"/>
      <c r="S1216" s="246"/>
      <c r="T1216" s="246"/>
      <c r="U1216" s="246"/>
      <c r="V1216" s="246"/>
    </row>
    <row r="1217" spans="2:22" x14ac:dyDescent="0.25">
      <c r="B1217" s="247">
        <v>101</v>
      </c>
      <c r="C1217" s="247">
        <v>110</v>
      </c>
      <c r="D1217" s="247">
        <v>101</v>
      </c>
      <c r="E1217" s="247">
        <v>110</v>
      </c>
      <c r="F1217" s="247">
        <f t="shared" si="129"/>
        <v>10</v>
      </c>
      <c r="G1217" s="246">
        <v>3.5</v>
      </c>
      <c r="H1217" s="247"/>
      <c r="I1217" s="246"/>
      <c r="J1217" s="246"/>
      <c r="K1217" s="246"/>
      <c r="L1217" s="246"/>
      <c r="M1217" s="246"/>
      <c r="N1217" s="246"/>
      <c r="O1217" s="246"/>
      <c r="P1217" s="246"/>
      <c r="Q1217" s="246"/>
      <c r="R1217" s="246"/>
      <c r="S1217" s="246"/>
      <c r="T1217" s="246"/>
      <c r="U1217" s="246"/>
      <c r="V1217" s="246"/>
    </row>
    <row r="1218" spans="2:22" x14ac:dyDescent="0.25">
      <c r="B1218" s="247">
        <v>111</v>
      </c>
      <c r="C1218" s="247">
        <v>120</v>
      </c>
      <c r="D1218" s="247">
        <v>111</v>
      </c>
      <c r="E1218" s="247">
        <v>123</v>
      </c>
      <c r="F1218" s="247">
        <f t="shared" si="129"/>
        <v>13</v>
      </c>
      <c r="G1218" s="246">
        <v>3.5</v>
      </c>
      <c r="H1218" s="247"/>
      <c r="I1218" s="246"/>
      <c r="J1218" s="246"/>
      <c r="K1218" s="246"/>
      <c r="L1218" s="246"/>
      <c r="M1218" s="246"/>
      <c r="N1218" s="246"/>
      <c r="O1218" s="246"/>
      <c r="P1218" s="246"/>
      <c r="Q1218" s="246"/>
      <c r="R1218" s="246"/>
      <c r="S1218" s="246"/>
      <c r="T1218" s="246"/>
      <c r="U1218" s="246"/>
      <c r="V1218" s="246"/>
    </row>
    <row r="1219" spans="2:22" x14ac:dyDescent="0.25">
      <c r="B1219" s="246"/>
      <c r="C1219" s="246"/>
      <c r="D1219" s="246"/>
      <c r="E1219" s="246"/>
      <c r="F1219" s="246"/>
      <c r="G1219" s="246"/>
      <c r="H1219" s="246"/>
      <c r="I1219" s="246"/>
      <c r="J1219" s="246"/>
      <c r="K1219" s="246"/>
      <c r="L1219" s="246"/>
      <c r="M1219" s="246"/>
      <c r="N1219" s="246"/>
      <c r="O1219" s="246"/>
      <c r="P1219" s="246"/>
      <c r="Q1219" s="246"/>
      <c r="R1219" s="246"/>
      <c r="S1219" s="246"/>
      <c r="T1219" s="246"/>
      <c r="U1219" s="246"/>
      <c r="V1219" s="246"/>
    </row>
    <row r="1220" spans="2:22" x14ac:dyDescent="0.25">
      <c r="B1220" s="386" t="s">
        <v>340</v>
      </c>
      <c r="C1220" s="386"/>
      <c r="D1220" s="386"/>
      <c r="E1220" s="386"/>
      <c r="F1220" s="386"/>
      <c r="G1220" s="247"/>
      <c r="H1220" s="247"/>
      <c r="I1220" s="246"/>
      <c r="J1220" s="246"/>
      <c r="K1220" s="246"/>
      <c r="L1220" s="246"/>
      <c r="M1220" s="246"/>
      <c r="N1220" s="246"/>
      <c r="O1220" s="246"/>
      <c r="P1220" s="246"/>
      <c r="Q1220" s="246"/>
      <c r="R1220" s="246"/>
      <c r="S1220" s="246"/>
      <c r="T1220" s="246"/>
      <c r="U1220" s="246"/>
      <c r="V1220" s="246"/>
    </row>
    <row r="1221" spans="2:22" x14ac:dyDescent="0.25">
      <c r="B1221" s="386" t="s">
        <v>254</v>
      </c>
      <c r="C1221" s="386"/>
      <c r="D1221" s="386" t="s">
        <v>254</v>
      </c>
      <c r="E1221" s="386"/>
      <c r="F1221" s="192" t="s">
        <v>313</v>
      </c>
      <c r="G1221" s="247" t="s">
        <v>314</v>
      </c>
      <c r="H1221" s="247" t="s">
        <v>316</v>
      </c>
      <c r="I1221" s="246"/>
      <c r="J1221" s="246"/>
      <c r="K1221" s="246"/>
      <c r="L1221" s="246"/>
      <c r="M1221" s="246"/>
      <c r="N1221" s="246"/>
      <c r="O1221" s="246"/>
      <c r="P1221" s="246"/>
      <c r="Q1221" s="246"/>
      <c r="R1221" s="246"/>
      <c r="S1221" s="246"/>
      <c r="T1221" s="246"/>
      <c r="U1221" s="246"/>
      <c r="V1221" s="246"/>
    </row>
    <row r="1222" spans="2:22" x14ac:dyDescent="0.25">
      <c r="B1222" s="247">
        <v>0</v>
      </c>
      <c r="C1222" s="247">
        <v>10</v>
      </c>
      <c r="D1222" s="247"/>
      <c r="E1222" s="247"/>
      <c r="F1222" s="247">
        <v>0</v>
      </c>
      <c r="G1222" s="246">
        <v>2</v>
      </c>
      <c r="H1222" s="247">
        <f>(F1222*G1222+F1223*G1223+F1224*G1224+F1225*G1225+F1226*G1226+F1227*G1227+F1228*G1228)/100</f>
        <v>3.2149999999999999</v>
      </c>
      <c r="I1222" s="246"/>
      <c r="J1222" s="246"/>
      <c r="K1222" s="246"/>
      <c r="L1222" s="246"/>
      <c r="M1222" s="246"/>
      <c r="N1222" s="246"/>
      <c r="O1222" s="246"/>
      <c r="P1222" s="246"/>
      <c r="Q1222" s="246"/>
      <c r="R1222" s="246"/>
      <c r="S1222" s="246"/>
      <c r="T1222" s="246"/>
      <c r="U1222" s="246"/>
      <c r="V1222" s="246"/>
    </row>
    <row r="1223" spans="2:22" x14ac:dyDescent="0.25">
      <c r="B1223" s="247">
        <v>11</v>
      </c>
      <c r="C1223" s="247">
        <v>25</v>
      </c>
      <c r="D1223" s="247">
        <v>24</v>
      </c>
      <c r="E1223" s="247">
        <v>25</v>
      </c>
      <c r="F1223" s="247">
        <f t="shared" ref="F1223:F1228" si="130">E1223-D1223+1</f>
        <v>2</v>
      </c>
      <c r="G1223" s="246">
        <v>2.5</v>
      </c>
      <c r="H1223" s="247"/>
      <c r="I1223" s="246"/>
      <c r="J1223" s="246"/>
      <c r="K1223" s="246"/>
      <c r="L1223" s="246"/>
      <c r="M1223" s="246"/>
      <c r="N1223" s="246"/>
      <c r="O1223" s="246"/>
      <c r="P1223" s="246"/>
      <c r="Q1223" s="246"/>
      <c r="R1223" s="246"/>
      <c r="S1223" s="246"/>
      <c r="T1223" s="246"/>
      <c r="U1223" s="246"/>
      <c r="V1223" s="246"/>
    </row>
    <row r="1224" spans="2:22" x14ac:dyDescent="0.25">
      <c r="B1224" s="247">
        <v>26</v>
      </c>
      <c r="C1224" s="247">
        <v>55</v>
      </c>
      <c r="D1224" s="247">
        <v>26</v>
      </c>
      <c r="E1224" s="247">
        <v>55</v>
      </c>
      <c r="F1224" s="247">
        <f t="shared" si="130"/>
        <v>30</v>
      </c>
      <c r="G1224" s="246">
        <v>3</v>
      </c>
      <c r="H1224" s="247"/>
      <c r="I1224" s="246"/>
      <c r="J1224" s="246"/>
      <c r="K1224" s="246"/>
      <c r="L1224" s="246"/>
      <c r="M1224" s="246"/>
      <c r="N1224" s="246"/>
      <c r="O1224" s="246"/>
      <c r="P1224" s="246"/>
      <c r="Q1224" s="246"/>
      <c r="R1224" s="246"/>
      <c r="S1224" s="246"/>
      <c r="T1224" s="246"/>
      <c r="U1224" s="246"/>
      <c r="V1224" s="246"/>
    </row>
    <row r="1225" spans="2:22" x14ac:dyDescent="0.25">
      <c r="B1225" s="247">
        <v>56</v>
      </c>
      <c r="C1225" s="247">
        <v>85</v>
      </c>
      <c r="D1225" s="247">
        <v>56</v>
      </c>
      <c r="E1225" s="247">
        <v>85</v>
      </c>
      <c r="F1225" s="247">
        <f t="shared" si="130"/>
        <v>30</v>
      </c>
      <c r="G1225" s="246">
        <v>3</v>
      </c>
      <c r="H1225" s="247"/>
      <c r="I1225" s="246"/>
      <c r="J1225" s="246"/>
      <c r="K1225" s="246"/>
      <c r="L1225" s="246"/>
      <c r="M1225" s="246"/>
      <c r="N1225" s="246"/>
      <c r="O1225" s="246"/>
      <c r="P1225" s="246"/>
      <c r="Q1225" s="246"/>
      <c r="R1225" s="246"/>
      <c r="S1225" s="246"/>
      <c r="T1225" s="246"/>
      <c r="U1225" s="246"/>
      <c r="V1225" s="246"/>
    </row>
    <row r="1226" spans="2:22" x14ac:dyDescent="0.25">
      <c r="B1226" s="247">
        <v>86</v>
      </c>
      <c r="C1226" s="247">
        <v>100</v>
      </c>
      <c r="D1226" s="247">
        <v>86</v>
      </c>
      <c r="E1226" s="247">
        <v>100</v>
      </c>
      <c r="F1226" s="247">
        <f t="shared" si="130"/>
        <v>15</v>
      </c>
      <c r="G1226" s="246">
        <v>3.5</v>
      </c>
      <c r="H1226" s="247"/>
      <c r="I1226" s="246"/>
      <c r="J1226" s="246"/>
      <c r="K1226" s="246"/>
      <c r="L1226" s="246"/>
      <c r="M1226" s="246"/>
      <c r="N1226" s="246"/>
      <c r="O1226" s="246"/>
      <c r="P1226" s="246"/>
      <c r="Q1226" s="246"/>
      <c r="R1226" s="246"/>
      <c r="S1226" s="246"/>
      <c r="T1226" s="246"/>
      <c r="U1226" s="246"/>
      <c r="V1226" s="246"/>
    </row>
    <row r="1227" spans="2:22" x14ac:dyDescent="0.25">
      <c r="B1227" s="247">
        <v>101</v>
      </c>
      <c r="C1227" s="247">
        <v>110</v>
      </c>
      <c r="D1227" s="247">
        <v>101</v>
      </c>
      <c r="E1227" s="247">
        <v>110</v>
      </c>
      <c r="F1227" s="247">
        <f t="shared" si="130"/>
        <v>10</v>
      </c>
      <c r="G1227" s="246">
        <v>3.5</v>
      </c>
      <c r="H1227" s="247"/>
      <c r="I1227" s="246"/>
      <c r="J1227" s="246"/>
      <c r="K1227" s="246"/>
      <c r="L1227" s="246"/>
      <c r="M1227" s="246"/>
      <c r="N1227" s="246"/>
      <c r="O1227" s="246"/>
      <c r="P1227" s="246"/>
      <c r="Q1227" s="246"/>
      <c r="R1227" s="246"/>
      <c r="S1227" s="246"/>
      <c r="T1227" s="246"/>
      <c r="U1227" s="246"/>
      <c r="V1227" s="246"/>
    </row>
    <row r="1228" spans="2:22" x14ac:dyDescent="0.25">
      <c r="B1228" s="247">
        <v>111</v>
      </c>
      <c r="C1228" s="247">
        <v>120</v>
      </c>
      <c r="D1228" s="247">
        <v>111</v>
      </c>
      <c r="E1228" s="247">
        <v>124</v>
      </c>
      <c r="F1228" s="247">
        <f t="shared" si="130"/>
        <v>14</v>
      </c>
      <c r="G1228" s="246">
        <v>3.5</v>
      </c>
      <c r="H1228" s="247"/>
      <c r="I1228" s="246"/>
      <c r="J1228" s="246"/>
      <c r="K1228" s="246"/>
      <c r="L1228" s="246"/>
      <c r="M1228" s="246"/>
      <c r="N1228" s="246"/>
      <c r="O1228" s="246"/>
      <c r="P1228" s="246"/>
      <c r="Q1228" s="246"/>
      <c r="R1228" s="246"/>
      <c r="S1228" s="246"/>
      <c r="T1228" s="246"/>
      <c r="U1228" s="246"/>
      <c r="V1228" s="246"/>
    </row>
    <row r="1229" spans="2:22" x14ac:dyDescent="0.25">
      <c r="B1229" s="246"/>
      <c r="C1229" s="246"/>
      <c r="D1229" s="246"/>
      <c r="E1229" s="246"/>
      <c r="F1229" s="246"/>
      <c r="G1229" s="246"/>
      <c r="H1229" s="246"/>
      <c r="I1229" s="246"/>
      <c r="J1229" s="246"/>
      <c r="K1229" s="246"/>
      <c r="L1229" s="246"/>
      <c r="M1229" s="246"/>
      <c r="N1229" s="246"/>
      <c r="O1229" s="246"/>
      <c r="P1229" s="246"/>
      <c r="Q1229" s="246"/>
      <c r="R1229" s="246"/>
      <c r="S1229" s="246"/>
      <c r="T1229" s="246"/>
      <c r="U1229" s="246"/>
      <c r="V1229" s="246"/>
    </row>
    <row r="1230" spans="2:22" x14ac:dyDescent="0.25">
      <c r="B1230" s="386" t="s">
        <v>341</v>
      </c>
      <c r="C1230" s="386"/>
      <c r="D1230" s="386"/>
      <c r="E1230" s="386"/>
      <c r="F1230" s="386"/>
      <c r="G1230" s="247"/>
      <c r="H1230" s="247"/>
      <c r="I1230" s="246"/>
      <c r="J1230" s="246"/>
      <c r="K1230" s="246"/>
      <c r="L1230" s="246"/>
      <c r="M1230" s="246"/>
      <c r="N1230" s="246"/>
      <c r="O1230" s="246"/>
      <c r="P1230" s="246"/>
      <c r="Q1230" s="246"/>
      <c r="R1230" s="246"/>
      <c r="S1230" s="246"/>
      <c r="T1230" s="246"/>
      <c r="U1230" s="246"/>
      <c r="V1230" s="246"/>
    </row>
    <row r="1231" spans="2:22" x14ac:dyDescent="0.25">
      <c r="B1231" s="386" t="s">
        <v>254</v>
      </c>
      <c r="C1231" s="386"/>
      <c r="D1231" s="386" t="s">
        <v>254</v>
      </c>
      <c r="E1231" s="386"/>
      <c r="F1231" s="192" t="s">
        <v>313</v>
      </c>
      <c r="G1231" s="247" t="s">
        <v>314</v>
      </c>
      <c r="H1231" s="247" t="s">
        <v>316</v>
      </c>
      <c r="I1231" s="246"/>
      <c r="J1231" s="246"/>
      <c r="K1231" s="246"/>
      <c r="L1231" s="246"/>
      <c r="M1231" s="246"/>
      <c r="N1231" s="246"/>
      <c r="O1231" s="246"/>
      <c r="P1231" s="246"/>
      <c r="Q1231" s="246"/>
      <c r="R1231" s="246"/>
      <c r="S1231" s="246"/>
      <c r="T1231" s="246"/>
      <c r="U1231" s="246"/>
      <c r="V1231" s="246"/>
    </row>
    <row r="1232" spans="2:22" x14ac:dyDescent="0.25">
      <c r="B1232" s="247">
        <v>0</v>
      </c>
      <c r="C1232" s="247">
        <v>10</v>
      </c>
      <c r="D1232" s="247"/>
      <c r="E1232" s="247"/>
      <c r="F1232" s="247">
        <v>0</v>
      </c>
      <c r="G1232" s="246">
        <v>2</v>
      </c>
      <c r="H1232" s="247">
        <f>(F1232*G1232+F1233*G1233+F1234*G1234+F1235*G1235+F1236*G1236+F1237*G1237+F1238*G1238)/100</f>
        <v>3.2250000000000001</v>
      </c>
      <c r="I1232" s="246"/>
      <c r="J1232" s="246"/>
      <c r="K1232" s="246"/>
      <c r="L1232" s="246"/>
      <c r="M1232" s="246"/>
      <c r="N1232" s="246"/>
      <c r="O1232" s="246"/>
      <c r="P1232" s="246"/>
      <c r="Q1232" s="246"/>
      <c r="R1232" s="246"/>
      <c r="S1232" s="246"/>
      <c r="T1232" s="246"/>
      <c r="U1232" s="246"/>
      <c r="V1232" s="246"/>
    </row>
    <row r="1233" spans="2:22" x14ac:dyDescent="0.25">
      <c r="B1233" s="247">
        <v>11</v>
      </c>
      <c r="C1233" s="247">
        <v>25</v>
      </c>
      <c r="D1233" s="247">
        <v>25</v>
      </c>
      <c r="E1233" s="247">
        <v>25</v>
      </c>
      <c r="F1233" s="247">
        <f t="shared" ref="F1233:F1238" si="131">E1233-D1233+1</f>
        <v>1</v>
      </c>
      <c r="G1233" s="246">
        <v>2.5</v>
      </c>
      <c r="H1233" s="247"/>
      <c r="I1233" s="246"/>
      <c r="J1233" s="246"/>
      <c r="K1233" s="246"/>
      <c r="L1233" s="246"/>
      <c r="M1233" s="246"/>
      <c r="N1233" s="246"/>
      <c r="O1233" s="246"/>
      <c r="P1233" s="246"/>
      <c r="Q1233" s="246"/>
      <c r="R1233" s="246"/>
      <c r="S1233" s="246"/>
      <c r="T1233" s="246"/>
      <c r="U1233" s="246"/>
      <c r="V1233" s="246"/>
    </row>
    <row r="1234" spans="2:22" x14ac:dyDescent="0.25">
      <c r="B1234" s="247">
        <v>26</v>
      </c>
      <c r="C1234" s="247">
        <v>55</v>
      </c>
      <c r="D1234" s="247">
        <v>26</v>
      </c>
      <c r="E1234" s="247">
        <v>55</v>
      </c>
      <c r="F1234" s="247">
        <f t="shared" si="131"/>
        <v>30</v>
      </c>
      <c r="G1234" s="246">
        <v>3</v>
      </c>
      <c r="H1234" s="247"/>
      <c r="I1234" s="246"/>
      <c r="J1234" s="246"/>
      <c r="K1234" s="246"/>
      <c r="L1234" s="246"/>
      <c r="M1234" s="246"/>
      <c r="N1234" s="246"/>
      <c r="O1234" s="246"/>
      <c r="P1234" s="246"/>
      <c r="Q1234" s="246"/>
      <c r="R1234" s="246"/>
      <c r="S1234" s="246"/>
      <c r="T1234" s="246"/>
      <c r="U1234" s="246"/>
      <c r="V1234" s="246"/>
    </row>
    <row r="1235" spans="2:22" x14ac:dyDescent="0.25">
      <c r="B1235" s="247">
        <v>56</v>
      </c>
      <c r="C1235" s="247">
        <v>85</v>
      </c>
      <c r="D1235" s="247">
        <v>56</v>
      </c>
      <c r="E1235" s="247">
        <v>85</v>
      </c>
      <c r="F1235" s="247">
        <f t="shared" si="131"/>
        <v>30</v>
      </c>
      <c r="G1235" s="246">
        <v>3</v>
      </c>
      <c r="H1235" s="247"/>
      <c r="I1235" s="246"/>
      <c r="J1235" s="246"/>
      <c r="K1235" s="246"/>
      <c r="L1235" s="246"/>
      <c r="M1235" s="246"/>
      <c r="N1235" s="246"/>
      <c r="O1235" s="246"/>
      <c r="P1235" s="246"/>
      <c r="Q1235" s="246"/>
      <c r="R1235" s="246"/>
      <c r="S1235" s="246"/>
      <c r="T1235" s="246"/>
      <c r="U1235" s="246"/>
      <c r="V1235" s="246"/>
    </row>
    <row r="1236" spans="2:22" x14ac:dyDescent="0.25">
      <c r="B1236" s="247">
        <v>86</v>
      </c>
      <c r="C1236" s="247">
        <v>100</v>
      </c>
      <c r="D1236" s="247">
        <v>86</v>
      </c>
      <c r="E1236" s="247">
        <v>100</v>
      </c>
      <c r="F1236" s="247">
        <f t="shared" si="131"/>
        <v>15</v>
      </c>
      <c r="G1236" s="246">
        <v>3.5</v>
      </c>
      <c r="H1236" s="247"/>
      <c r="I1236" s="246"/>
      <c r="J1236" s="246"/>
      <c r="K1236" s="246"/>
      <c r="L1236" s="246"/>
      <c r="M1236" s="246"/>
      <c r="N1236" s="246"/>
      <c r="O1236" s="246"/>
      <c r="P1236" s="246"/>
      <c r="Q1236" s="246"/>
      <c r="R1236" s="246"/>
      <c r="S1236" s="246"/>
      <c r="T1236" s="246"/>
      <c r="U1236" s="246"/>
      <c r="V1236" s="246"/>
    </row>
    <row r="1237" spans="2:22" x14ac:dyDescent="0.25">
      <c r="B1237" s="247">
        <v>101</v>
      </c>
      <c r="C1237" s="247">
        <v>110</v>
      </c>
      <c r="D1237" s="247">
        <v>101</v>
      </c>
      <c r="E1237" s="247">
        <v>110</v>
      </c>
      <c r="F1237" s="247">
        <f t="shared" si="131"/>
        <v>10</v>
      </c>
      <c r="G1237" s="246">
        <v>3.5</v>
      </c>
      <c r="H1237" s="247"/>
      <c r="I1237" s="246"/>
      <c r="J1237" s="246"/>
      <c r="K1237" s="246"/>
      <c r="L1237" s="246"/>
      <c r="M1237" s="246"/>
      <c r="N1237" s="246"/>
      <c r="O1237" s="246"/>
      <c r="P1237" s="246"/>
      <c r="Q1237" s="246"/>
      <c r="R1237" s="246"/>
      <c r="S1237" s="246"/>
      <c r="T1237" s="246"/>
      <c r="U1237" s="246"/>
      <c r="V1237" s="246"/>
    </row>
    <row r="1238" spans="2:22" x14ac:dyDescent="0.25">
      <c r="B1238" s="247">
        <v>111</v>
      </c>
      <c r="C1238" s="247">
        <v>120</v>
      </c>
      <c r="D1238" s="247">
        <v>111</v>
      </c>
      <c r="E1238" s="247">
        <v>125</v>
      </c>
      <c r="F1238" s="247">
        <f t="shared" si="131"/>
        <v>15</v>
      </c>
      <c r="G1238" s="246">
        <v>3.5</v>
      </c>
      <c r="H1238" s="247"/>
      <c r="I1238" s="246"/>
      <c r="J1238" s="246"/>
      <c r="K1238" s="246"/>
      <c r="L1238" s="246"/>
      <c r="M1238" s="246"/>
      <c r="N1238" s="246"/>
      <c r="O1238" s="246"/>
      <c r="P1238" s="246"/>
      <c r="Q1238" s="246"/>
      <c r="R1238" s="246"/>
      <c r="S1238" s="246"/>
      <c r="T1238" s="246"/>
      <c r="U1238" s="246"/>
      <c r="V1238" s="246"/>
    </row>
    <row r="1239" spans="2:22" x14ac:dyDescent="0.25">
      <c r="B1239" s="246"/>
      <c r="C1239" s="246"/>
      <c r="D1239" s="246"/>
      <c r="E1239" s="246"/>
      <c r="F1239" s="246"/>
      <c r="G1239" s="246"/>
      <c r="H1239" s="246"/>
      <c r="I1239" s="246"/>
      <c r="J1239" s="246"/>
      <c r="K1239" s="246"/>
      <c r="L1239" s="246"/>
      <c r="M1239" s="246"/>
      <c r="N1239" s="246"/>
      <c r="O1239" s="246"/>
      <c r="P1239" s="246"/>
      <c r="Q1239" s="246"/>
      <c r="R1239" s="246"/>
      <c r="S1239" s="246"/>
      <c r="T1239" s="246"/>
      <c r="U1239" s="246"/>
      <c r="V1239" s="246"/>
    </row>
    <row r="1240" spans="2:22" x14ac:dyDescent="0.25">
      <c r="B1240" s="386" t="s">
        <v>342</v>
      </c>
      <c r="C1240" s="386"/>
      <c r="D1240" s="386"/>
      <c r="E1240" s="386"/>
      <c r="F1240" s="386"/>
      <c r="G1240" s="247"/>
      <c r="H1240" s="247"/>
      <c r="I1240" s="246"/>
      <c r="J1240" s="246"/>
      <c r="K1240" s="246"/>
      <c r="L1240" s="246"/>
      <c r="M1240" s="246"/>
      <c r="N1240" s="246"/>
      <c r="O1240" s="246"/>
      <c r="P1240" s="246"/>
      <c r="Q1240" s="246"/>
      <c r="R1240" s="246"/>
      <c r="S1240" s="246"/>
      <c r="T1240" s="246"/>
      <c r="U1240" s="246"/>
      <c r="V1240" s="246"/>
    </row>
    <row r="1241" spans="2:22" x14ac:dyDescent="0.25">
      <c r="B1241" s="386" t="s">
        <v>254</v>
      </c>
      <c r="C1241" s="386"/>
      <c r="D1241" s="386" t="s">
        <v>254</v>
      </c>
      <c r="E1241" s="386"/>
      <c r="F1241" s="192" t="s">
        <v>313</v>
      </c>
      <c r="G1241" s="247" t="s">
        <v>314</v>
      </c>
      <c r="H1241" s="247" t="s">
        <v>316</v>
      </c>
      <c r="I1241" s="246"/>
      <c r="J1241" s="246"/>
      <c r="K1241" s="246"/>
      <c r="L1241" s="246"/>
      <c r="M1241" s="246"/>
      <c r="N1241" s="246"/>
      <c r="O1241" s="246"/>
      <c r="P1241" s="246"/>
      <c r="Q1241" s="246"/>
      <c r="R1241" s="246"/>
      <c r="S1241" s="246"/>
      <c r="T1241" s="246"/>
      <c r="U1241" s="246"/>
      <c r="V1241" s="246"/>
    </row>
    <row r="1242" spans="2:22" x14ac:dyDescent="0.25">
      <c r="B1242" s="247">
        <v>0</v>
      </c>
      <c r="C1242" s="247">
        <v>10</v>
      </c>
      <c r="D1242" s="247"/>
      <c r="E1242" s="247"/>
      <c r="F1242" s="247">
        <v>0</v>
      </c>
      <c r="G1242" s="246">
        <v>2</v>
      </c>
      <c r="H1242" s="247">
        <f>(F1242*G1242+F1243*G1243+F1244*G1244+F1245*G1245+F1246*G1246+F1247*G1247+F1248*G1248)/100</f>
        <v>3.2349999999999999</v>
      </c>
      <c r="I1242" s="246"/>
      <c r="J1242" s="246"/>
      <c r="K1242" s="246"/>
      <c r="L1242" s="246"/>
      <c r="M1242" s="246"/>
      <c r="N1242" s="246"/>
      <c r="O1242" s="246"/>
      <c r="P1242" s="246"/>
      <c r="Q1242" s="246"/>
      <c r="R1242" s="246"/>
      <c r="S1242" s="246"/>
      <c r="T1242" s="246"/>
      <c r="U1242" s="246"/>
      <c r="V1242" s="246"/>
    </row>
    <row r="1243" spans="2:22" x14ac:dyDescent="0.25">
      <c r="B1243" s="247">
        <v>11</v>
      </c>
      <c r="C1243" s="247">
        <v>25</v>
      </c>
      <c r="D1243" s="247"/>
      <c r="E1243" s="247"/>
      <c r="F1243" s="247">
        <v>0</v>
      </c>
      <c r="G1243" s="246">
        <v>2.5</v>
      </c>
      <c r="H1243" s="247"/>
      <c r="I1243" s="246"/>
      <c r="J1243" s="246"/>
      <c r="K1243" s="246"/>
      <c r="L1243" s="246"/>
      <c r="M1243" s="246"/>
      <c r="N1243" s="246"/>
      <c r="O1243" s="246"/>
      <c r="P1243" s="246"/>
      <c r="Q1243" s="246"/>
      <c r="R1243" s="246"/>
      <c r="S1243" s="246"/>
      <c r="T1243" s="246"/>
      <c r="U1243" s="246"/>
      <c r="V1243" s="246"/>
    </row>
    <row r="1244" spans="2:22" x14ac:dyDescent="0.25">
      <c r="B1244" s="247">
        <v>26</v>
      </c>
      <c r="C1244" s="247">
        <v>55</v>
      </c>
      <c r="D1244" s="247">
        <v>26</v>
      </c>
      <c r="E1244" s="247">
        <v>55</v>
      </c>
      <c r="F1244" s="247">
        <f t="shared" ref="F1244:F1248" si="132">E1244-D1244+1</f>
        <v>30</v>
      </c>
      <c r="G1244" s="246">
        <v>3</v>
      </c>
      <c r="H1244" s="247"/>
      <c r="I1244" s="246"/>
      <c r="J1244" s="246"/>
      <c r="K1244" s="246"/>
      <c r="L1244" s="246"/>
      <c r="M1244" s="246"/>
      <c r="N1244" s="246"/>
      <c r="O1244" s="246"/>
      <c r="P1244" s="246"/>
      <c r="Q1244" s="246"/>
      <c r="R1244" s="246"/>
      <c r="S1244" s="246"/>
      <c r="T1244" s="246"/>
      <c r="U1244" s="246"/>
      <c r="V1244" s="246"/>
    </row>
    <row r="1245" spans="2:22" x14ac:dyDescent="0.25">
      <c r="B1245" s="247">
        <v>56</v>
      </c>
      <c r="C1245" s="247">
        <v>85</v>
      </c>
      <c r="D1245" s="247">
        <v>56</v>
      </c>
      <c r="E1245" s="247">
        <v>85</v>
      </c>
      <c r="F1245" s="247">
        <f t="shared" si="132"/>
        <v>30</v>
      </c>
      <c r="G1245" s="246">
        <v>3</v>
      </c>
      <c r="H1245" s="247"/>
      <c r="I1245" s="246"/>
      <c r="J1245" s="246"/>
      <c r="K1245" s="246"/>
      <c r="L1245" s="246"/>
      <c r="M1245" s="246"/>
      <c r="N1245" s="246"/>
      <c r="O1245" s="246"/>
      <c r="P1245" s="246"/>
      <c r="Q1245" s="246"/>
      <c r="R1245" s="246"/>
      <c r="S1245" s="246"/>
      <c r="T1245" s="246"/>
      <c r="U1245" s="246"/>
      <c r="V1245" s="246"/>
    </row>
    <row r="1246" spans="2:22" x14ac:dyDescent="0.25">
      <c r="B1246" s="247">
        <v>86</v>
      </c>
      <c r="C1246" s="247">
        <v>100</v>
      </c>
      <c r="D1246" s="247">
        <v>86</v>
      </c>
      <c r="E1246" s="247">
        <v>100</v>
      </c>
      <c r="F1246" s="247">
        <f t="shared" si="132"/>
        <v>15</v>
      </c>
      <c r="G1246" s="246">
        <v>3.5</v>
      </c>
      <c r="H1246" s="247"/>
      <c r="I1246" s="246"/>
      <c r="J1246" s="246"/>
      <c r="K1246" s="246"/>
      <c r="L1246" s="246"/>
      <c r="M1246" s="246"/>
      <c r="N1246" s="246"/>
      <c r="O1246" s="246"/>
      <c r="P1246" s="246"/>
      <c r="Q1246" s="246"/>
      <c r="R1246" s="246"/>
      <c r="S1246" s="246"/>
      <c r="T1246" s="246"/>
      <c r="U1246" s="246"/>
      <c r="V1246" s="246"/>
    </row>
    <row r="1247" spans="2:22" x14ac:dyDescent="0.25">
      <c r="B1247" s="247">
        <v>101</v>
      </c>
      <c r="C1247" s="247">
        <v>110</v>
      </c>
      <c r="D1247" s="247">
        <v>101</v>
      </c>
      <c r="E1247" s="247">
        <v>110</v>
      </c>
      <c r="F1247" s="247">
        <f t="shared" si="132"/>
        <v>10</v>
      </c>
      <c r="G1247" s="246">
        <v>3.5</v>
      </c>
      <c r="H1247" s="247"/>
      <c r="I1247" s="246"/>
      <c r="J1247" s="246"/>
      <c r="K1247" s="246"/>
      <c r="L1247" s="246"/>
      <c r="M1247" s="246"/>
      <c r="N1247" s="246"/>
      <c r="O1247" s="246"/>
      <c r="P1247" s="246"/>
      <c r="Q1247" s="246"/>
      <c r="R1247" s="246"/>
      <c r="S1247" s="246"/>
      <c r="T1247" s="246"/>
      <c r="U1247" s="246"/>
      <c r="V1247" s="246"/>
    </row>
    <row r="1248" spans="2:22" x14ac:dyDescent="0.25">
      <c r="B1248" s="247">
        <v>111</v>
      </c>
      <c r="C1248" s="247">
        <v>120</v>
      </c>
      <c r="D1248" s="247">
        <v>111</v>
      </c>
      <c r="E1248" s="247">
        <v>126</v>
      </c>
      <c r="F1248" s="247">
        <f t="shared" si="132"/>
        <v>16</v>
      </c>
      <c r="G1248" s="246">
        <v>3.5</v>
      </c>
      <c r="H1248" s="247"/>
      <c r="I1248" s="246"/>
      <c r="J1248" s="246"/>
      <c r="K1248" s="246"/>
      <c r="L1248" s="246"/>
      <c r="M1248" s="246"/>
      <c r="N1248" s="246"/>
      <c r="O1248" s="246"/>
      <c r="P1248" s="246"/>
      <c r="Q1248" s="246"/>
      <c r="R1248" s="246"/>
      <c r="S1248" s="246"/>
      <c r="T1248" s="246"/>
      <c r="U1248" s="246"/>
      <c r="V1248" s="246"/>
    </row>
    <row r="1249" spans="2:22" x14ac:dyDescent="0.25">
      <c r="B1249" s="246"/>
      <c r="C1249" s="246"/>
      <c r="D1249" s="246"/>
      <c r="E1249" s="246"/>
      <c r="F1249" s="246"/>
      <c r="G1249" s="246"/>
      <c r="H1249" s="246"/>
      <c r="I1249" s="246"/>
      <c r="J1249" s="246"/>
      <c r="K1249" s="246"/>
      <c r="L1249" s="246"/>
      <c r="M1249" s="246"/>
      <c r="N1249" s="246"/>
      <c r="O1249" s="246"/>
      <c r="P1249" s="246"/>
      <c r="Q1249" s="246"/>
      <c r="R1249" s="246"/>
      <c r="S1249" s="246"/>
      <c r="T1249" s="246"/>
      <c r="U1249" s="246"/>
      <c r="V1249" s="246"/>
    </row>
    <row r="1250" spans="2:22" x14ac:dyDescent="0.25">
      <c r="B1250" s="386" t="s">
        <v>343</v>
      </c>
      <c r="C1250" s="386"/>
      <c r="D1250" s="386"/>
      <c r="E1250" s="386"/>
      <c r="F1250" s="386"/>
      <c r="G1250" s="247"/>
      <c r="H1250" s="247"/>
      <c r="I1250" s="246"/>
      <c r="J1250" s="246"/>
      <c r="K1250" s="246"/>
      <c r="L1250" s="246"/>
      <c r="M1250" s="246"/>
      <c r="N1250" s="246"/>
      <c r="O1250" s="246"/>
      <c r="P1250" s="246"/>
      <c r="Q1250" s="246"/>
      <c r="R1250" s="246"/>
      <c r="S1250" s="246"/>
      <c r="T1250" s="246"/>
      <c r="U1250" s="246"/>
      <c r="V1250" s="246"/>
    </row>
    <row r="1251" spans="2:22" x14ac:dyDescent="0.25">
      <c r="B1251" s="386" t="s">
        <v>254</v>
      </c>
      <c r="C1251" s="386"/>
      <c r="D1251" s="386" t="s">
        <v>254</v>
      </c>
      <c r="E1251" s="386"/>
      <c r="F1251" s="192" t="s">
        <v>313</v>
      </c>
      <c r="G1251" s="247" t="s">
        <v>314</v>
      </c>
      <c r="H1251" s="247" t="s">
        <v>316</v>
      </c>
      <c r="I1251" s="246"/>
      <c r="J1251" s="246"/>
      <c r="K1251" s="246"/>
      <c r="L1251" s="246"/>
      <c r="M1251" s="246"/>
      <c r="N1251" s="246"/>
      <c r="O1251" s="246"/>
      <c r="P1251" s="246"/>
      <c r="Q1251" s="246"/>
      <c r="R1251" s="246"/>
      <c r="S1251" s="246"/>
      <c r="T1251" s="246"/>
      <c r="U1251" s="246"/>
      <c r="V1251" s="246"/>
    </row>
    <row r="1252" spans="2:22" x14ac:dyDescent="0.25">
      <c r="B1252" s="247">
        <v>0</v>
      </c>
      <c r="C1252" s="247">
        <v>10</v>
      </c>
      <c r="D1252" s="247"/>
      <c r="E1252" s="247"/>
      <c r="F1252" s="247">
        <v>0</v>
      </c>
      <c r="G1252" s="246">
        <v>2</v>
      </c>
      <c r="H1252" s="247">
        <f>(F1252*G1252+F1253*G1253+F1254*G1254+F1255*G1255+F1256*G1256+F1257*G1257+F1258*G1258)/100</f>
        <v>3.24</v>
      </c>
      <c r="I1252" s="246"/>
      <c r="J1252" s="246"/>
      <c r="K1252" s="246"/>
      <c r="L1252" s="246"/>
      <c r="M1252" s="246"/>
      <c r="N1252" s="246"/>
      <c r="O1252" s="246"/>
      <c r="P1252" s="246"/>
      <c r="Q1252" s="246"/>
      <c r="R1252" s="246"/>
      <c r="S1252" s="246"/>
      <c r="T1252" s="246"/>
      <c r="U1252" s="246"/>
      <c r="V1252" s="246"/>
    </row>
    <row r="1253" spans="2:22" x14ac:dyDescent="0.25">
      <c r="B1253" s="247">
        <v>11</v>
      </c>
      <c r="C1253" s="247">
        <v>25</v>
      </c>
      <c r="D1253" s="247"/>
      <c r="E1253" s="247"/>
      <c r="F1253" s="247">
        <v>0</v>
      </c>
      <c r="G1253" s="246">
        <v>2.5</v>
      </c>
      <c r="H1253" s="247"/>
      <c r="I1253" s="246"/>
      <c r="J1253" s="246"/>
      <c r="K1253" s="246"/>
      <c r="L1253" s="246"/>
      <c r="M1253" s="246"/>
      <c r="N1253" s="246"/>
      <c r="O1253" s="246"/>
      <c r="P1253" s="246"/>
      <c r="Q1253" s="246"/>
      <c r="R1253" s="246"/>
      <c r="S1253" s="246"/>
      <c r="T1253" s="246"/>
      <c r="U1253" s="246"/>
      <c r="V1253" s="246"/>
    </row>
    <row r="1254" spans="2:22" x14ac:dyDescent="0.25">
      <c r="B1254" s="247">
        <v>26</v>
      </c>
      <c r="C1254" s="247">
        <v>55</v>
      </c>
      <c r="D1254" s="247">
        <v>27</v>
      </c>
      <c r="E1254" s="247">
        <v>55</v>
      </c>
      <c r="F1254" s="247">
        <f t="shared" ref="F1254:F1258" si="133">E1254-D1254+1</f>
        <v>29</v>
      </c>
      <c r="G1254" s="246">
        <v>3</v>
      </c>
      <c r="H1254" s="247"/>
      <c r="I1254" s="246"/>
      <c r="J1254" s="246"/>
      <c r="K1254" s="246"/>
      <c r="L1254" s="246"/>
      <c r="M1254" s="246"/>
      <c r="N1254" s="246"/>
      <c r="O1254" s="246"/>
      <c r="P1254" s="246"/>
      <c r="Q1254" s="246"/>
      <c r="R1254" s="246"/>
      <c r="S1254" s="246"/>
      <c r="T1254" s="246"/>
      <c r="U1254" s="246"/>
      <c r="V1254" s="246"/>
    </row>
    <row r="1255" spans="2:22" x14ac:dyDescent="0.25">
      <c r="B1255" s="247">
        <v>56</v>
      </c>
      <c r="C1255" s="247">
        <v>85</v>
      </c>
      <c r="D1255" s="247">
        <v>56</v>
      </c>
      <c r="E1255" s="247">
        <v>85</v>
      </c>
      <c r="F1255" s="247">
        <f t="shared" si="133"/>
        <v>30</v>
      </c>
      <c r="G1255" s="246">
        <v>3</v>
      </c>
      <c r="H1255" s="247"/>
      <c r="I1255" s="246"/>
      <c r="J1255" s="246"/>
      <c r="K1255" s="246"/>
      <c r="L1255" s="246"/>
      <c r="M1255" s="246"/>
      <c r="N1255" s="246"/>
      <c r="O1255" s="246"/>
      <c r="P1255" s="246"/>
      <c r="Q1255" s="246"/>
      <c r="R1255" s="246"/>
      <c r="S1255" s="246"/>
      <c r="T1255" s="246"/>
      <c r="U1255" s="246"/>
      <c r="V1255" s="246"/>
    </row>
    <row r="1256" spans="2:22" x14ac:dyDescent="0.25">
      <c r="B1256" s="247">
        <v>86</v>
      </c>
      <c r="C1256" s="247">
        <v>100</v>
      </c>
      <c r="D1256" s="247">
        <v>86</v>
      </c>
      <c r="E1256" s="247">
        <v>100</v>
      </c>
      <c r="F1256" s="247">
        <f t="shared" si="133"/>
        <v>15</v>
      </c>
      <c r="G1256" s="246">
        <v>3.5</v>
      </c>
      <c r="H1256" s="247"/>
      <c r="I1256" s="246"/>
      <c r="J1256" s="246"/>
      <c r="K1256" s="246"/>
      <c r="L1256" s="246"/>
      <c r="M1256" s="246"/>
      <c r="N1256" s="246"/>
      <c r="O1256" s="246"/>
      <c r="P1256" s="246"/>
      <c r="Q1256" s="246"/>
      <c r="R1256" s="246"/>
      <c r="S1256" s="246"/>
      <c r="T1256" s="246"/>
      <c r="U1256" s="246"/>
      <c r="V1256" s="246"/>
    </row>
    <row r="1257" spans="2:22" x14ac:dyDescent="0.25">
      <c r="B1257" s="247">
        <v>101</v>
      </c>
      <c r="C1257" s="247">
        <v>110</v>
      </c>
      <c r="D1257" s="247">
        <v>101</v>
      </c>
      <c r="E1257" s="247">
        <v>110</v>
      </c>
      <c r="F1257" s="247">
        <f t="shared" si="133"/>
        <v>10</v>
      </c>
      <c r="G1257" s="246">
        <v>3.5</v>
      </c>
      <c r="H1257" s="247"/>
      <c r="I1257" s="246"/>
      <c r="J1257" s="246"/>
      <c r="K1257" s="246"/>
      <c r="L1257" s="246"/>
      <c r="M1257" s="246"/>
      <c r="N1257" s="246"/>
      <c r="O1257" s="246"/>
      <c r="P1257" s="246"/>
      <c r="Q1257" s="246"/>
      <c r="R1257" s="246"/>
      <c r="S1257" s="246"/>
      <c r="T1257" s="246"/>
      <c r="U1257" s="246"/>
      <c r="V1257" s="246"/>
    </row>
    <row r="1258" spans="2:22" x14ac:dyDescent="0.25">
      <c r="B1258" s="247">
        <v>111</v>
      </c>
      <c r="C1258" s="247">
        <v>120</v>
      </c>
      <c r="D1258" s="247">
        <v>111</v>
      </c>
      <c r="E1258" s="247">
        <v>127</v>
      </c>
      <c r="F1258" s="247">
        <f t="shared" si="133"/>
        <v>17</v>
      </c>
      <c r="G1258" s="246">
        <v>3.5</v>
      </c>
      <c r="H1258" s="247"/>
      <c r="I1258" s="246"/>
      <c r="J1258" s="246"/>
      <c r="K1258" s="246"/>
      <c r="L1258" s="246"/>
      <c r="M1258" s="246"/>
      <c r="N1258" s="246"/>
      <c r="O1258" s="246"/>
      <c r="P1258" s="246"/>
      <c r="Q1258" s="246"/>
      <c r="R1258" s="246"/>
      <c r="S1258" s="246"/>
      <c r="T1258" s="246"/>
      <c r="U1258" s="246"/>
      <c r="V1258" s="246"/>
    </row>
    <row r="1259" spans="2:22" x14ac:dyDescent="0.25">
      <c r="B1259" s="246"/>
      <c r="C1259" s="246"/>
      <c r="D1259" s="246"/>
      <c r="E1259" s="246"/>
      <c r="F1259" s="246"/>
      <c r="G1259" s="246"/>
      <c r="H1259" s="246"/>
      <c r="I1259" s="246"/>
      <c r="J1259" s="246"/>
      <c r="K1259" s="246"/>
      <c r="L1259" s="246"/>
      <c r="M1259" s="246"/>
      <c r="N1259" s="246"/>
      <c r="O1259" s="246"/>
      <c r="P1259" s="246"/>
      <c r="Q1259" s="246"/>
      <c r="R1259" s="246"/>
      <c r="S1259" s="246"/>
      <c r="T1259" s="246"/>
      <c r="U1259" s="246"/>
      <c r="V1259" s="246"/>
    </row>
    <row r="1260" spans="2:22" x14ac:dyDescent="0.25">
      <c r="B1260" s="386" t="s">
        <v>344</v>
      </c>
      <c r="C1260" s="386"/>
      <c r="D1260" s="386"/>
      <c r="E1260" s="386"/>
      <c r="F1260" s="386"/>
      <c r="G1260" s="247"/>
      <c r="H1260" s="247"/>
      <c r="I1260" s="246"/>
      <c r="J1260" s="246"/>
      <c r="K1260" s="246"/>
      <c r="L1260" s="246"/>
      <c r="M1260" s="246"/>
      <c r="N1260" s="246"/>
      <c r="O1260" s="246"/>
      <c r="P1260" s="246"/>
      <c r="Q1260" s="246"/>
      <c r="R1260" s="246"/>
      <c r="S1260" s="246"/>
      <c r="T1260" s="246"/>
      <c r="U1260" s="246"/>
      <c r="V1260" s="246"/>
    </row>
    <row r="1261" spans="2:22" x14ac:dyDescent="0.25">
      <c r="B1261" s="386" t="s">
        <v>254</v>
      </c>
      <c r="C1261" s="386"/>
      <c r="D1261" s="386" t="s">
        <v>254</v>
      </c>
      <c r="E1261" s="386"/>
      <c r="F1261" s="192" t="s">
        <v>313</v>
      </c>
      <c r="G1261" s="247" t="s">
        <v>314</v>
      </c>
      <c r="H1261" s="247" t="s">
        <v>316</v>
      </c>
      <c r="I1261" s="246"/>
      <c r="J1261" s="246"/>
      <c r="K1261" s="246"/>
      <c r="L1261" s="246"/>
      <c r="M1261" s="246"/>
      <c r="N1261" s="246"/>
      <c r="O1261" s="246"/>
      <c r="P1261" s="246"/>
      <c r="Q1261" s="246"/>
      <c r="R1261" s="246"/>
      <c r="S1261" s="246"/>
      <c r="T1261" s="246"/>
      <c r="U1261" s="246"/>
      <c r="V1261" s="246"/>
    </row>
    <row r="1262" spans="2:22" x14ac:dyDescent="0.25">
      <c r="B1262" s="247">
        <v>0</v>
      </c>
      <c r="C1262" s="247">
        <v>10</v>
      </c>
      <c r="D1262" s="247"/>
      <c r="E1262" s="247"/>
      <c r="F1262" s="247">
        <v>0</v>
      </c>
      <c r="G1262" s="246">
        <v>2</v>
      </c>
      <c r="H1262" s="247">
        <f>(F1262*G1262+F1263*G1263+F1264*G1264+F1265*G1265+F1266*G1266+F1267*G1267+F1268*G1268)/100</f>
        <v>3.2450000000000001</v>
      </c>
      <c r="I1262" s="246"/>
      <c r="J1262" s="246"/>
      <c r="K1262" s="246"/>
      <c r="L1262" s="246"/>
      <c r="M1262" s="246"/>
      <c r="N1262" s="246"/>
      <c r="O1262" s="246"/>
      <c r="P1262" s="246"/>
      <c r="Q1262" s="246"/>
      <c r="R1262" s="246"/>
      <c r="S1262" s="246"/>
      <c r="T1262" s="246"/>
      <c r="U1262" s="246"/>
      <c r="V1262" s="246"/>
    </row>
    <row r="1263" spans="2:22" x14ac:dyDescent="0.25">
      <c r="B1263" s="247">
        <v>11</v>
      </c>
      <c r="C1263" s="247">
        <v>25</v>
      </c>
      <c r="D1263" s="247"/>
      <c r="E1263" s="247"/>
      <c r="F1263" s="247">
        <v>0</v>
      </c>
      <c r="G1263" s="246">
        <v>2.5</v>
      </c>
      <c r="H1263" s="247"/>
      <c r="I1263" s="246"/>
      <c r="J1263" s="246"/>
      <c r="K1263" s="246"/>
      <c r="L1263" s="246"/>
      <c r="M1263" s="246"/>
      <c r="N1263" s="246"/>
      <c r="O1263" s="246"/>
      <c r="P1263" s="246"/>
      <c r="Q1263" s="246"/>
      <c r="R1263" s="246"/>
      <c r="S1263" s="246"/>
      <c r="T1263" s="246"/>
      <c r="U1263" s="246"/>
      <c r="V1263" s="246"/>
    </row>
    <row r="1264" spans="2:22" x14ac:dyDescent="0.25">
      <c r="B1264" s="247">
        <v>26</v>
      </c>
      <c r="C1264" s="247">
        <v>55</v>
      </c>
      <c r="D1264" s="247">
        <v>28</v>
      </c>
      <c r="E1264" s="247">
        <v>55</v>
      </c>
      <c r="F1264" s="247">
        <f t="shared" ref="F1264:F1268" si="134">E1264-D1264+1</f>
        <v>28</v>
      </c>
      <c r="G1264" s="246">
        <v>3</v>
      </c>
      <c r="H1264" s="247"/>
      <c r="I1264" s="246"/>
      <c r="J1264" s="246"/>
      <c r="K1264" s="246"/>
      <c r="L1264" s="246"/>
      <c r="M1264" s="246"/>
      <c r="N1264" s="246"/>
      <c r="O1264" s="246"/>
      <c r="P1264" s="246"/>
      <c r="Q1264" s="246"/>
      <c r="R1264" s="246"/>
      <c r="S1264" s="246"/>
      <c r="T1264" s="246"/>
      <c r="U1264" s="246"/>
      <c r="V1264" s="246"/>
    </row>
    <row r="1265" spans="2:22" x14ac:dyDescent="0.25">
      <c r="B1265" s="247">
        <v>56</v>
      </c>
      <c r="C1265" s="247">
        <v>85</v>
      </c>
      <c r="D1265" s="247">
        <v>56</v>
      </c>
      <c r="E1265" s="247">
        <v>85</v>
      </c>
      <c r="F1265" s="247">
        <f t="shared" si="134"/>
        <v>30</v>
      </c>
      <c r="G1265" s="246">
        <v>3</v>
      </c>
      <c r="H1265" s="247"/>
      <c r="I1265" s="246"/>
      <c r="J1265" s="246"/>
      <c r="K1265" s="246"/>
      <c r="L1265" s="246"/>
      <c r="M1265" s="246"/>
      <c r="N1265" s="246"/>
      <c r="O1265" s="246"/>
      <c r="P1265" s="246"/>
      <c r="Q1265" s="246"/>
      <c r="R1265" s="246"/>
      <c r="S1265" s="246"/>
      <c r="T1265" s="246"/>
      <c r="U1265" s="246"/>
      <c r="V1265" s="246"/>
    </row>
    <row r="1266" spans="2:22" x14ac:dyDescent="0.25">
      <c r="B1266" s="247">
        <v>86</v>
      </c>
      <c r="C1266" s="247">
        <v>100</v>
      </c>
      <c r="D1266" s="247">
        <v>86</v>
      </c>
      <c r="E1266" s="247">
        <v>100</v>
      </c>
      <c r="F1266" s="247">
        <f t="shared" si="134"/>
        <v>15</v>
      </c>
      <c r="G1266" s="246">
        <v>3.5</v>
      </c>
      <c r="H1266" s="247"/>
      <c r="I1266" s="246"/>
      <c r="J1266" s="246"/>
      <c r="K1266" s="246"/>
      <c r="L1266" s="246"/>
      <c r="M1266" s="246"/>
      <c r="N1266" s="246"/>
      <c r="O1266" s="246"/>
      <c r="P1266" s="246"/>
      <c r="Q1266" s="246"/>
      <c r="R1266" s="246"/>
      <c r="S1266" s="246"/>
      <c r="T1266" s="246"/>
      <c r="U1266" s="246"/>
      <c r="V1266" s="246"/>
    </row>
    <row r="1267" spans="2:22" x14ac:dyDescent="0.25">
      <c r="B1267" s="247">
        <v>101</v>
      </c>
      <c r="C1267" s="247">
        <v>110</v>
      </c>
      <c r="D1267" s="247">
        <v>101</v>
      </c>
      <c r="E1267" s="247">
        <v>110</v>
      </c>
      <c r="F1267" s="247">
        <f t="shared" si="134"/>
        <v>10</v>
      </c>
      <c r="G1267" s="246">
        <v>3.5</v>
      </c>
      <c r="H1267" s="247"/>
      <c r="I1267" s="246"/>
      <c r="J1267" s="246"/>
      <c r="K1267" s="246"/>
      <c r="L1267" s="246"/>
      <c r="M1267" s="246"/>
      <c r="N1267" s="246"/>
      <c r="O1267" s="246"/>
      <c r="P1267" s="246"/>
      <c r="Q1267" s="246"/>
      <c r="R1267" s="246"/>
      <c r="S1267" s="246"/>
      <c r="T1267" s="246"/>
      <c r="U1267" s="246"/>
      <c r="V1267" s="246"/>
    </row>
    <row r="1268" spans="2:22" x14ac:dyDescent="0.25">
      <c r="B1268" s="247">
        <v>111</v>
      </c>
      <c r="C1268" s="247">
        <v>120</v>
      </c>
      <c r="D1268" s="247">
        <v>111</v>
      </c>
      <c r="E1268" s="247">
        <v>128</v>
      </c>
      <c r="F1268" s="247">
        <f t="shared" si="134"/>
        <v>18</v>
      </c>
      <c r="G1268" s="246">
        <v>3.5</v>
      </c>
      <c r="H1268" s="247"/>
      <c r="I1268" s="246"/>
      <c r="J1268" s="246"/>
      <c r="K1268" s="246"/>
      <c r="L1268" s="246"/>
      <c r="M1268" s="246"/>
      <c r="N1268" s="246"/>
      <c r="O1268" s="246"/>
      <c r="P1268" s="246"/>
      <c r="Q1268" s="246"/>
      <c r="R1268" s="246"/>
      <c r="S1268" s="246"/>
      <c r="T1268" s="246"/>
      <c r="U1268" s="246"/>
      <c r="V1268" s="246"/>
    </row>
    <row r="1269" spans="2:22" x14ac:dyDescent="0.25">
      <c r="B1269" s="246"/>
      <c r="C1269" s="246"/>
      <c r="D1269" s="246"/>
      <c r="E1269" s="246"/>
      <c r="F1269" s="246"/>
      <c r="G1269" s="246"/>
      <c r="H1269" s="246"/>
      <c r="I1269" s="246"/>
      <c r="J1269" s="246"/>
      <c r="K1269" s="246"/>
      <c r="L1269" s="246"/>
      <c r="M1269" s="246"/>
      <c r="N1269" s="246"/>
      <c r="O1269" s="246"/>
      <c r="P1269" s="246"/>
      <c r="Q1269" s="246"/>
      <c r="R1269" s="246"/>
      <c r="S1269" s="246"/>
      <c r="T1269" s="246"/>
      <c r="U1269" s="246"/>
      <c r="V1269" s="246"/>
    </row>
    <row r="1270" spans="2:22" x14ac:dyDescent="0.25">
      <c r="B1270" s="386" t="s">
        <v>345</v>
      </c>
      <c r="C1270" s="386"/>
      <c r="D1270" s="386"/>
      <c r="E1270" s="386"/>
      <c r="F1270" s="386"/>
      <c r="G1270" s="247"/>
      <c r="H1270" s="247"/>
      <c r="I1270" s="246"/>
      <c r="J1270" s="246"/>
      <c r="K1270" s="246"/>
      <c r="L1270" s="246"/>
      <c r="M1270" s="246"/>
      <c r="N1270" s="246"/>
      <c r="O1270" s="246"/>
      <c r="P1270" s="246"/>
      <c r="Q1270" s="246"/>
      <c r="R1270" s="246"/>
      <c r="S1270" s="246"/>
      <c r="T1270" s="246"/>
      <c r="U1270" s="246"/>
      <c r="V1270" s="246"/>
    </row>
    <row r="1271" spans="2:22" x14ac:dyDescent="0.25">
      <c r="B1271" s="386" t="s">
        <v>254</v>
      </c>
      <c r="C1271" s="386"/>
      <c r="D1271" s="386" t="s">
        <v>254</v>
      </c>
      <c r="E1271" s="386"/>
      <c r="F1271" s="192" t="s">
        <v>313</v>
      </c>
      <c r="G1271" s="247" t="s">
        <v>314</v>
      </c>
      <c r="H1271" s="247" t="s">
        <v>316</v>
      </c>
      <c r="I1271" s="246"/>
      <c r="J1271" s="246"/>
      <c r="K1271" s="246"/>
      <c r="L1271" s="246"/>
      <c r="M1271" s="246"/>
      <c r="N1271" s="246"/>
      <c r="O1271" s="246"/>
      <c r="P1271" s="246"/>
      <c r="Q1271" s="246"/>
      <c r="R1271" s="246"/>
      <c r="S1271" s="246"/>
      <c r="T1271" s="246"/>
      <c r="U1271" s="246"/>
      <c r="V1271" s="246"/>
    </row>
    <row r="1272" spans="2:22" x14ac:dyDescent="0.25">
      <c r="B1272" s="247">
        <v>0</v>
      </c>
      <c r="C1272" s="247">
        <v>10</v>
      </c>
      <c r="D1272" s="247"/>
      <c r="E1272" s="247"/>
      <c r="F1272" s="247">
        <v>0</v>
      </c>
      <c r="G1272" s="246">
        <v>2</v>
      </c>
      <c r="H1272" s="247">
        <f>(F1272*G1272+F1273*G1273+F1274*G1274+F1275*G1275+F1276*G1276+F1277*G1277+F1278*G1278)/100</f>
        <v>3.25</v>
      </c>
      <c r="I1272" s="246"/>
      <c r="J1272" s="246"/>
      <c r="K1272" s="246"/>
      <c r="L1272" s="246"/>
      <c r="M1272" s="246"/>
      <c r="N1272" s="246"/>
      <c r="O1272" s="246"/>
      <c r="P1272" s="246"/>
      <c r="Q1272" s="246"/>
      <c r="R1272" s="246"/>
      <c r="S1272" s="246"/>
      <c r="T1272" s="246"/>
      <c r="U1272" s="246"/>
      <c r="V1272" s="246"/>
    </row>
    <row r="1273" spans="2:22" x14ac:dyDescent="0.25">
      <c r="B1273" s="247">
        <v>11</v>
      </c>
      <c r="C1273" s="247">
        <v>25</v>
      </c>
      <c r="D1273" s="247"/>
      <c r="E1273" s="247"/>
      <c r="F1273" s="247">
        <v>0</v>
      </c>
      <c r="G1273" s="246">
        <v>2.5</v>
      </c>
      <c r="H1273" s="247"/>
      <c r="I1273" s="246"/>
      <c r="J1273" s="246"/>
      <c r="K1273" s="246"/>
      <c r="L1273" s="246"/>
      <c r="M1273" s="246"/>
      <c r="N1273" s="246"/>
      <c r="O1273" s="246"/>
      <c r="P1273" s="246"/>
      <c r="Q1273" s="246"/>
      <c r="R1273" s="246"/>
      <c r="S1273" s="246"/>
      <c r="T1273" s="246"/>
      <c r="U1273" s="246"/>
      <c r="V1273" s="246"/>
    </row>
    <row r="1274" spans="2:22" x14ac:dyDescent="0.25">
      <c r="B1274" s="247">
        <v>26</v>
      </c>
      <c r="C1274" s="247">
        <v>55</v>
      </c>
      <c r="D1274" s="247">
        <v>29</v>
      </c>
      <c r="E1274" s="247">
        <v>55</v>
      </c>
      <c r="F1274" s="247">
        <f t="shared" ref="F1274:F1278" si="135">E1274-D1274+1</f>
        <v>27</v>
      </c>
      <c r="G1274" s="246">
        <v>3</v>
      </c>
      <c r="H1274" s="247"/>
      <c r="I1274" s="246"/>
      <c r="J1274" s="246"/>
      <c r="K1274" s="246"/>
      <c r="L1274" s="246"/>
      <c r="M1274" s="246"/>
      <c r="N1274" s="246"/>
      <c r="O1274" s="246"/>
      <c r="P1274" s="246"/>
      <c r="Q1274" s="246"/>
      <c r="R1274" s="246"/>
      <c r="S1274" s="246"/>
      <c r="T1274" s="246"/>
      <c r="U1274" s="246"/>
      <c r="V1274" s="246"/>
    </row>
    <row r="1275" spans="2:22" x14ac:dyDescent="0.25">
      <c r="B1275" s="247">
        <v>56</v>
      </c>
      <c r="C1275" s="247">
        <v>85</v>
      </c>
      <c r="D1275" s="247">
        <v>56</v>
      </c>
      <c r="E1275" s="247">
        <v>85</v>
      </c>
      <c r="F1275" s="247">
        <f t="shared" si="135"/>
        <v>30</v>
      </c>
      <c r="G1275" s="246">
        <v>3</v>
      </c>
      <c r="H1275" s="247"/>
      <c r="I1275" s="246"/>
      <c r="J1275" s="246"/>
      <c r="K1275" s="246"/>
      <c r="L1275" s="246"/>
      <c r="M1275" s="246"/>
      <c r="N1275" s="246"/>
      <c r="O1275" s="246"/>
      <c r="P1275" s="246"/>
      <c r="Q1275" s="246"/>
      <c r="R1275" s="246"/>
      <c r="S1275" s="246"/>
      <c r="T1275" s="246"/>
      <c r="U1275" s="246"/>
      <c r="V1275" s="246"/>
    </row>
    <row r="1276" spans="2:22" x14ac:dyDescent="0.25">
      <c r="B1276" s="247">
        <v>86</v>
      </c>
      <c r="C1276" s="247">
        <v>100</v>
      </c>
      <c r="D1276" s="247">
        <v>86</v>
      </c>
      <c r="E1276" s="247">
        <v>100</v>
      </c>
      <c r="F1276" s="247">
        <f t="shared" si="135"/>
        <v>15</v>
      </c>
      <c r="G1276" s="246">
        <v>3.5</v>
      </c>
      <c r="H1276" s="247"/>
      <c r="I1276" s="246"/>
      <c r="J1276" s="246"/>
      <c r="K1276" s="246"/>
      <c r="L1276" s="246"/>
      <c r="M1276" s="246"/>
      <c r="N1276" s="246"/>
      <c r="O1276" s="246"/>
      <c r="P1276" s="246"/>
      <c r="Q1276" s="246"/>
      <c r="R1276" s="246"/>
      <c r="S1276" s="246"/>
      <c r="T1276" s="246"/>
      <c r="U1276" s="246"/>
      <c r="V1276" s="246"/>
    </row>
    <row r="1277" spans="2:22" x14ac:dyDescent="0.25">
      <c r="B1277" s="247">
        <v>101</v>
      </c>
      <c r="C1277" s="247">
        <v>110</v>
      </c>
      <c r="D1277" s="247">
        <v>101</v>
      </c>
      <c r="E1277" s="247">
        <v>110</v>
      </c>
      <c r="F1277" s="247">
        <f t="shared" si="135"/>
        <v>10</v>
      </c>
      <c r="G1277" s="246">
        <v>3.5</v>
      </c>
      <c r="H1277" s="247"/>
      <c r="I1277" s="246"/>
      <c r="J1277" s="246"/>
      <c r="K1277" s="246"/>
      <c r="L1277" s="246"/>
      <c r="M1277" s="246"/>
      <c r="N1277" s="246"/>
      <c r="O1277" s="246"/>
      <c r="P1277" s="246"/>
      <c r="Q1277" s="246"/>
      <c r="R1277" s="246"/>
      <c r="S1277" s="246"/>
      <c r="T1277" s="246"/>
      <c r="U1277" s="246"/>
      <c r="V1277" s="246"/>
    </row>
    <row r="1278" spans="2:22" x14ac:dyDescent="0.25">
      <c r="B1278" s="247">
        <v>111</v>
      </c>
      <c r="C1278" s="247">
        <v>120</v>
      </c>
      <c r="D1278" s="247">
        <v>111</v>
      </c>
      <c r="E1278" s="247">
        <v>129</v>
      </c>
      <c r="F1278" s="247">
        <f t="shared" si="135"/>
        <v>19</v>
      </c>
      <c r="G1278" s="246">
        <v>3.5</v>
      </c>
      <c r="H1278" s="247"/>
      <c r="I1278" s="246"/>
      <c r="J1278" s="246"/>
      <c r="K1278" s="246"/>
      <c r="L1278" s="246"/>
      <c r="M1278" s="246"/>
      <c r="N1278" s="246"/>
      <c r="O1278" s="246"/>
      <c r="P1278" s="246"/>
      <c r="Q1278" s="246"/>
      <c r="R1278" s="246"/>
      <c r="S1278" s="246"/>
      <c r="T1278" s="246"/>
      <c r="U1278" s="246"/>
      <c r="V1278" s="246"/>
    </row>
    <row r="1279" spans="2:22" x14ac:dyDescent="0.25">
      <c r="B1279" s="246"/>
      <c r="C1279" s="246"/>
      <c r="D1279" s="246"/>
      <c r="E1279" s="246"/>
      <c r="F1279" s="246"/>
      <c r="G1279" s="246"/>
      <c r="H1279" s="246"/>
      <c r="I1279" s="246"/>
      <c r="J1279" s="246"/>
      <c r="K1279" s="246"/>
      <c r="L1279" s="246"/>
      <c r="M1279" s="246"/>
      <c r="N1279" s="246"/>
      <c r="O1279" s="246"/>
      <c r="P1279" s="246"/>
      <c r="Q1279" s="246"/>
      <c r="R1279" s="246"/>
      <c r="S1279" s="246"/>
      <c r="T1279" s="246"/>
      <c r="U1279" s="246"/>
      <c r="V1279" s="246"/>
    </row>
    <row r="1280" spans="2:22" x14ac:dyDescent="0.25">
      <c r="B1280" s="386" t="s">
        <v>346</v>
      </c>
      <c r="C1280" s="386"/>
      <c r="D1280" s="386"/>
      <c r="E1280" s="386"/>
      <c r="F1280" s="386"/>
      <c r="G1280" s="247"/>
      <c r="H1280" s="247"/>
      <c r="I1280" s="246"/>
      <c r="J1280" s="246"/>
      <c r="K1280" s="246"/>
      <c r="L1280" s="246"/>
      <c r="M1280" s="246"/>
      <c r="N1280" s="246"/>
      <c r="O1280" s="246"/>
      <c r="P1280" s="246"/>
      <c r="Q1280" s="246"/>
      <c r="R1280" s="246"/>
      <c r="S1280" s="246"/>
      <c r="T1280" s="246"/>
      <c r="U1280" s="246"/>
      <c r="V1280" s="246"/>
    </row>
    <row r="1281" spans="2:22" x14ac:dyDescent="0.25">
      <c r="B1281" s="386" t="s">
        <v>254</v>
      </c>
      <c r="C1281" s="386"/>
      <c r="D1281" s="386" t="s">
        <v>254</v>
      </c>
      <c r="E1281" s="386"/>
      <c r="F1281" s="192" t="s">
        <v>313</v>
      </c>
      <c r="G1281" s="247" t="s">
        <v>314</v>
      </c>
      <c r="H1281" s="247" t="s">
        <v>316</v>
      </c>
      <c r="I1281" s="246"/>
      <c r="J1281" s="246"/>
      <c r="K1281" s="246"/>
      <c r="L1281" s="246"/>
      <c r="M1281" s="246"/>
      <c r="N1281" s="246"/>
      <c r="O1281" s="246"/>
      <c r="P1281" s="246"/>
      <c r="Q1281" s="246"/>
      <c r="R1281" s="246"/>
      <c r="S1281" s="246"/>
      <c r="T1281" s="246"/>
      <c r="U1281" s="246"/>
      <c r="V1281" s="246"/>
    </row>
    <row r="1282" spans="2:22" x14ac:dyDescent="0.25">
      <c r="B1282" s="247">
        <v>0</v>
      </c>
      <c r="C1282" s="247">
        <v>10</v>
      </c>
      <c r="D1282" s="247"/>
      <c r="E1282" s="247"/>
      <c r="F1282" s="247">
        <v>0</v>
      </c>
      <c r="G1282" s="246">
        <v>2</v>
      </c>
      <c r="H1282" s="247">
        <f>(F1282*G1282+F1283*G1283+F1284*G1284+F1285*G1285+F1286*G1286+F1287*G1287+F1288*G1288)/100</f>
        <v>3.2549999999999999</v>
      </c>
      <c r="I1282" s="246"/>
      <c r="J1282" s="246"/>
      <c r="K1282" s="246"/>
      <c r="L1282" s="246"/>
      <c r="M1282" s="246"/>
      <c r="N1282" s="246"/>
      <c r="O1282" s="246"/>
      <c r="P1282" s="246"/>
      <c r="Q1282" s="246"/>
      <c r="R1282" s="246"/>
      <c r="S1282" s="246"/>
      <c r="T1282" s="246"/>
      <c r="U1282" s="246"/>
      <c r="V1282" s="246"/>
    </row>
    <row r="1283" spans="2:22" x14ac:dyDescent="0.25">
      <c r="B1283" s="247">
        <v>11</v>
      </c>
      <c r="C1283" s="247">
        <v>25</v>
      </c>
      <c r="D1283" s="247"/>
      <c r="E1283" s="247"/>
      <c r="F1283" s="247">
        <v>0</v>
      </c>
      <c r="G1283" s="246">
        <v>2.5</v>
      </c>
      <c r="H1283" s="247"/>
      <c r="I1283" s="246"/>
      <c r="J1283" s="246"/>
      <c r="K1283" s="246"/>
      <c r="L1283" s="246"/>
      <c r="M1283" s="246"/>
      <c r="N1283" s="246"/>
      <c r="O1283" s="246"/>
      <c r="P1283" s="246"/>
      <c r="Q1283" s="246"/>
      <c r="R1283" s="246"/>
      <c r="S1283" s="246"/>
      <c r="T1283" s="246"/>
      <c r="U1283" s="246"/>
      <c r="V1283" s="246"/>
    </row>
    <row r="1284" spans="2:22" x14ac:dyDescent="0.25">
      <c r="B1284" s="247">
        <v>26</v>
      </c>
      <c r="C1284" s="247">
        <v>55</v>
      </c>
      <c r="D1284" s="247">
        <v>30</v>
      </c>
      <c r="E1284" s="247">
        <v>55</v>
      </c>
      <c r="F1284" s="247">
        <f t="shared" ref="F1284:F1288" si="136">E1284-D1284+1</f>
        <v>26</v>
      </c>
      <c r="G1284" s="246">
        <v>3</v>
      </c>
      <c r="H1284" s="247"/>
      <c r="I1284" s="246"/>
      <c r="J1284" s="246"/>
      <c r="K1284" s="246"/>
      <c r="L1284" s="246"/>
      <c r="M1284" s="246"/>
      <c r="N1284" s="246"/>
      <c r="O1284" s="246"/>
      <c r="P1284" s="246"/>
      <c r="Q1284" s="246"/>
      <c r="R1284" s="246"/>
      <c r="S1284" s="246"/>
      <c r="T1284" s="246"/>
      <c r="U1284" s="246"/>
      <c r="V1284" s="246"/>
    </row>
    <row r="1285" spans="2:22" x14ac:dyDescent="0.25">
      <c r="B1285" s="247">
        <v>56</v>
      </c>
      <c r="C1285" s="247">
        <v>85</v>
      </c>
      <c r="D1285" s="247">
        <v>56</v>
      </c>
      <c r="E1285" s="247">
        <v>85</v>
      </c>
      <c r="F1285" s="247">
        <f t="shared" si="136"/>
        <v>30</v>
      </c>
      <c r="G1285" s="246">
        <v>3</v>
      </c>
      <c r="H1285" s="247"/>
      <c r="I1285" s="246"/>
      <c r="J1285" s="246"/>
      <c r="K1285" s="246"/>
      <c r="L1285" s="246"/>
      <c r="M1285" s="246"/>
      <c r="N1285" s="246"/>
      <c r="O1285" s="246"/>
      <c r="P1285" s="246"/>
      <c r="Q1285" s="246"/>
      <c r="R1285" s="246"/>
      <c r="S1285" s="246"/>
      <c r="T1285" s="246"/>
      <c r="U1285" s="246"/>
      <c r="V1285" s="246"/>
    </row>
    <row r="1286" spans="2:22" x14ac:dyDescent="0.25">
      <c r="B1286" s="247">
        <v>86</v>
      </c>
      <c r="C1286" s="247">
        <v>100</v>
      </c>
      <c r="D1286" s="247">
        <v>86</v>
      </c>
      <c r="E1286" s="247">
        <v>100</v>
      </c>
      <c r="F1286" s="247">
        <f t="shared" si="136"/>
        <v>15</v>
      </c>
      <c r="G1286" s="246">
        <v>3.5</v>
      </c>
      <c r="H1286" s="247"/>
      <c r="I1286" s="246"/>
      <c r="J1286" s="246"/>
      <c r="K1286" s="246"/>
      <c r="L1286" s="246"/>
      <c r="M1286" s="246"/>
      <c r="N1286" s="246"/>
      <c r="O1286" s="246"/>
      <c r="P1286" s="246"/>
      <c r="Q1286" s="246"/>
      <c r="R1286" s="246"/>
      <c r="S1286" s="246"/>
      <c r="T1286" s="246"/>
      <c r="U1286" s="246"/>
      <c r="V1286" s="246"/>
    </row>
    <row r="1287" spans="2:22" x14ac:dyDescent="0.25">
      <c r="B1287" s="247">
        <v>101</v>
      </c>
      <c r="C1287" s="247">
        <v>110</v>
      </c>
      <c r="D1287" s="247">
        <v>101</v>
      </c>
      <c r="E1287" s="247">
        <v>110</v>
      </c>
      <c r="F1287" s="247">
        <f t="shared" si="136"/>
        <v>10</v>
      </c>
      <c r="G1287" s="246">
        <v>3.5</v>
      </c>
      <c r="H1287" s="247"/>
      <c r="I1287" s="246"/>
      <c r="J1287" s="246"/>
      <c r="K1287" s="246"/>
      <c r="L1287" s="246"/>
      <c r="M1287" s="246"/>
      <c r="N1287" s="246"/>
      <c r="O1287" s="246"/>
      <c r="P1287" s="246"/>
      <c r="Q1287" s="246"/>
      <c r="R1287" s="246"/>
      <c r="S1287" s="246"/>
      <c r="T1287" s="246"/>
      <c r="U1287" s="246"/>
      <c r="V1287" s="246"/>
    </row>
    <row r="1288" spans="2:22" x14ac:dyDescent="0.25">
      <c r="B1288" s="247">
        <v>111</v>
      </c>
      <c r="C1288" s="247">
        <v>120</v>
      </c>
      <c r="D1288" s="247">
        <v>111</v>
      </c>
      <c r="E1288" s="247">
        <v>130</v>
      </c>
      <c r="F1288" s="247">
        <f t="shared" si="136"/>
        <v>20</v>
      </c>
      <c r="G1288" s="246">
        <v>3.5</v>
      </c>
      <c r="H1288" s="247"/>
      <c r="I1288" s="246"/>
      <c r="J1288" s="246"/>
      <c r="K1288" s="246"/>
      <c r="L1288" s="246"/>
      <c r="M1288" s="246"/>
      <c r="N1288" s="246"/>
      <c r="O1288" s="246"/>
      <c r="P1288" s="246"/>
      <c r="Q1288" s="246"/>
      <c r="R1288" s="246"/>
      <c r="S1288" s="246"/>
      <c r="T1288" s="246"/>
      <c r="U1288" s="246"/>
      <c r="V1288" s="246"/>
    </row>
    <row r="1289" spans="2:22" x14ac:dyDescent="0.25">
      <c r="B1289" s="246"/>
      <c r="C1289" s="246"/>
      <c r="D1289" s="246"/>
      <c r="E1289" s="246"/>
      <c r="F1289" s="246"/>
      <c r="G1289" s="246"/>
      <c r="H1289" s="246"/>
      <c r="I1289" s="246"/>
      <c r="J1289" s="246"/>
      <c r="K1289" s="246"/>
      <c r="L1289" s="246"/>
      <c r="M1289" s="246"/>
      <c r="N1289" s="246"/>
      <c r="O1289" s="246"/>
      <c r="P1289" s="246"/>
      <c r="Q1289" s="246"/>
      <c r="R1289" s="246"/>
      <c r="S1289" s="246"/>
      <c r="T1289" s="246"/>
      <c r="U1289" s="246"/>
      <c r="V1289" s="246"/>
    </row>
    <row r="1290" spans="2:22" x14ac:dyDescent="0.25">
      <c r="B1290" s="386" t="s">
        <v>347</v>
      </c>
      <c r="C1290" s="386"/>
      <c r="D1290" s="386"/>
      <c r="E1290" s="386"/>
      <c r="F1290" s="386"/>
      <c r="G1290" s="247"/>
      <c r="H1290" s="247"/>
      <c r="I1290" s="246"/>
      <c r="J1290" s="246"/>
      <c r="K1290" s="246"/>
      <c r="L1290" s="246"/>
      <c r="M1290" s="246"/>
      <c r="N1290" s="246"/>
      <c r="O1290" s="246"/>
      <c r="P1290" s="246"/>
      <c r="Q1290" s="246"/>
      <c r="R1290" s="246"/>
      <c r="S1290" s="246"/>
      <c r="T1290" s="246"/>
      <c r="U1290" s="246"/>
      <c r="V1290" s="246"/>
    </row>
    <row r="1291" spans="2:22" x14ac:dyDescent="0.25">
      <c r="B1291" s="386" t="s">
        <v>254</v>
      </c>
      <c r="C1291" s="386"/>
      <c r="D1291" s="386" t="s">
        <v>254</v>
      </c>
      <c r="E1291" s="386"/>
      <c r="F1291" s="192" t="s">
        <v>313</v>
      </c>
      <c r="G1291" s="247" t="s">
        <v>314</v>
      </c>
      <c r="H1291" s="247" t="s">
        <v>316</v>
      </c>
      <c r="I1291" s="246"/>
      <c r="J1291" s="246"/>
      <c r="K1291" s="246"/>
      <c r="L1291" s="246"/>
      <c r="M1291" s="246"/>
      <c r="N1291" s="246"/>
      <c r="O1291" s="246"/>
      <c r="P1291" s="246"/>
      <c r="Q1291" s="246"/>
      <c r="R1291" s="246"/>
      <c r="S1291" s="246"/>
      <c r="T1291" s="246"/>
      <c r="U1291" s="246"/>
      <c r="V1291" s="246"/>
    </row>
    <row r="1292" spans="2:22" x14ac:dyDescent="0.25">
      <c r="B1292" s="247">
        <v>0</v>
      </c>
      <c r="C1292" s="247">
        <v>10</v>
      </c>
      <c r="D1292" s="247"/>
      <c r="E1292" s="247"/>
      <c r="F1292" s="247">
        <v>0</v>
      </c>
      <c r="G1292" s="246">
        <v>2</v>
      </c>
      <c r="H1292" s="247">
        <f>(F1292*G1292+F1293*G1293+F1294*G1294+F1295*G1295+F1296*G1296+F1297*G1297+F1298*G1298)/100</f>
        <v>3.26</v>
      </c>
      <c r="I1292" s="246"/>
      <c r="J1292" s="246"/>
      <c r="K1292" s="246"/>
      <c r="L1292" s="246"/>
      <c r="M1292" s="246"/>
      <c r="N1292" s="246"/>
      <c r="O1292" s="246"/>
      <c r="P1292" s="246"/>
      <c r="Q1292" s="246"/>
      <c r="R1292" s="246"/>
      <c r="S1292" s="246"/>
      <c r="T1292" s="246"/>
      <c r="U1292" s="246"/>
      <c r="V1292" s="246"/>
    </row>
    <row r="1293" spans="2:22" x14ac:dyDescent="0.25">
      <c r="B1293" s="247">
        <v>11</v>
      </c>
      <c r="C1293" s="247">
        <v>25</v>
      </c>
      <c r="D1293" s="247"/>
      <c r="E1293" s="247"/>
      <c r="F1293" s="247">
        <v>0</v>
      </c>
      <c r="G1293" s="246">
        <v>2.5</v>
      </c>
      <c r="H1293" s="247"/>
      <c r="I1293" s="246"/>
      <c r="J1293" s="246"/>
      <c r="K1293" s="246"/>
      <c r="L1293" s="246"/>
      <c r="M1293" s="246"/>
      <c r="N1293" s="246"/>
      <c r="O1293" s="246"/>
      <c r="P1293" s="246"/>
      <c r="Q1293" s="246"/>
      <c r="R1293" s="246"/>
      <c r="S1293" s="246"/>
      <c r="T1293" s="246"/>
      <c r="U1293" s="246"/>
      <c r="V1293" s="246"/>
    </row>
    <row r="1294" spans="2:22" x14ac:dyDescent="0.25">
      <c r="B1294" s="247">
        <v>26</v>
      </c>
      <c r="C1294" s="247">
        <v>55</v>
      </c>
      <c r="D1294" s="247">
        <v>31</v>
      </c>
      <c r="E1294" s="247">
        <v>55</v>
      </c>
      <c r="F1294" s="247">
        <f t="shared" ref="F1294:F1298" si="137">E1294-D1294+1</f>
        <v>25</v>
      </c>
      <c r="G1294" s="246">
        <v>3</v>
      </c>
      <c r="H1294" s="247"/>
      <c r="I1294" s="246"/>
      <c r="J1294" s="246"/>
      <c r="K1294" s="246"/>
      <c r="L1294" s="246"/>
      <c r="M1294" s="246"/>
      <c r="N1294" s="246"/>
      <c r="O1294" s="246"/>
      <c r="P1294" s="246"/>
      <c r="Q1294" s="246"/>
      <c r="R1294" s="246"/>
      <c r="S1294" s="246"/>
      <c r="T1294" s="246"/>
      <c r="U1294" s="246"/>
      <c r="V1294" s="246"/>
    </row>
    <row r="1295" spans="2:22" x14ac:dyDescent="0.25">
      <c r="B1295" s="247">
        <v>56</v>
      </c>
      <c r="C1295" s="247">
        <v>85</v>
      </c>
      <c r="D1295" s="247">
        <v>56</v>
      </c>
      <c r="E1295" s="247">
        <v>85</v>
      </c>
      <c r="F1295" s="247">
        <f t="shared" si="137"/>
        <v>30</v>
      </c>
      <c r="G1295" s="246">
        <v>3</v>
      </c>
      <c r="H1295" s="247"/>
      <c r="I1295" s="246"/>
      <c r="J1295" s="246"/>
      <c r="K1295" s="246"/>
      <c r="L1295" s="246"/>
      <c r="M1295" s="246"/>
      <c r="N1295" s="246"/>
      <c r="O1295" s="246"/>
      <c r="P1295" s="246"/>
      <c r="Q1295" s="246"/>
      <c r="R1295" s="246"/>
      <c r="S1295" s="246"/>
      <c r="T1295" s="246"/>
      <c r="U1295" s="246"/>
      <c r="V1295" s="246"/>
    </row>
    <row r="1296" spans="2:22" x14ac:dyDescent="0.25">
      <c r="B1296" s="247">
        <v>86</v>
      </c>
      <c r="C1296" s="247">
        <v>100</v>
      </c>
      <c r="D1296" s="247">
        <v>86</v>
      </c>
      <c r="E1296" s="247">
        <v>100</v>
      </c>
      <c r="F1296" s="247">
        <f t="shared" si="137"/>
        <v>15</v>
      </c>
      <c r="G1296" s="246">
        <v>3.5</v>
      </c>
      <c r="H1296" s="247"/>
      <c r="I1296" s="246"/>
      <c r="J1296" s="246"/>
      <c r="K1296" s="246"/>
      <c r="L1296" s="246"/>
      <c r="M1296" s="246"/>
      <c r="N1296" s="246"/>
      <c r="O1296" s="246"/>
      <c r="P1296" s="246"/>
      <c r="Q1296" s="246"/>
      <c r="R1296" s="246"/>
      <c r="S1296" s="246"/>
      <c r="T1296" s="246"/>
      <c r="U1296" s="246"/>
      <c r="V1296" s="246"/>
    </row>
    <row r="1297" spans="2:23" x14ac:dyDescent="0.25">
      <c r="B1297" s="247">
        <v>101</v>
      </c>
      <c r="C1297" s="247">
        <v>110</v>
      </c>
      <c r="D1297" s="247">
        <v>101</v>
      </c>
      <c r="E1297" s="247">
        <v>110</v>
      </c>
      <c r="F1297" s="247">
        <f t="shared" si="137"/>
        <v>10</v>
      </c>
      <c r="G1297" s="246">
        <v>3.5</v>
      </c>
      <c r="H1297" s="247"/>
      <c r="I1297" s="246"/>
      <c r="J1297" s="246"/>
      <c r="K1297" s="246"/>
      <c r="L1297" s="246"/>
      <c r="M1297" s="246"/>
      <c r="N1297" s="246"/>
      <c r="O1297" s="246"/>
      <c r="P1297" s="246"/>
      <c r="Q1297" s="246"/>
      <c r="R1297" s="246"/>
      <c r="S1297" s="246"/>
      <c r="T1297" s="246"/>
      <c r="U1297" s="246"/>
      <c r="V1297" s="246"/>
    </row>
    <row r="1298" spans="2:23" x14ac:dyDescent="0.25">
      <c r="B1298" s="247">
        <v>111</v>
      </c>
      <c r="C1298" s="247">
        <v>120</v>
      </c>
      <c r="D1298" s="247">
        <v>111</v>
      </c>
      <c r="E1298" s="247">
        <v>131</v>
      </c>
      <c r="F1298" s="247">
        <f t="shared" si="137"/>
        <v>21</v>
      </c>
      <c r="G1298" s="246">
        <v>3.5</v>
      </c>
      <c r="H1298" s="247"/>
      <c r="I1298" s="246"/>
      <c r="J1298" s="246"/>
      <c r="K1298" s="246"/>
      <c r="L1298" s="246"/>
      <c r="M1298" s="246"/>
      <c r="N1298" s="246"/>
      <c r="O1298" s="246"/>
      <c r="P1298" s="246"/>
      <c r="Q1298" s="246"/>
      <c r="R1298" s="246"/>
      <c r="S1298" s="246"/>
      <c r="T1298" s="246"/>
      <c r="U1298" s="246"/>
      <c r="V1298" s="246"/>
    </row>
    <row r="1306" spans="2:23" ht="15.75" thickBot="1" x14ac:dyDescent="0.3">
      <c r="B1306" s="284" t="s">
        <v>457</v>
      </c>
      <c r="C1306" s="284"/>
      <c r="D1306" s="284"/>
      <c r="E1306" s="284"/>
      <c r="F1306" s="284"/>
      <c r="G1306" s="284"/>
      <c r="H1306" s="284"/>
      <c r="I1306" s="284"/>
      <c r="J1306" s="284"/>
      <c r="K1306" s="284"/>
      <c r="L1306" s="284"/>
      <c r="M1306" s="284"/>
      <c r="N1306" s="284"/>
      <c r="O1306" s="284"/>
      <c r="P1306" s="284"/>
      <c r="Q1306" s="284"/>
      <c r="R1306" s="284"/>
      <c r="S1306" s="284"/>
      <c r="T1306" s="284"/>
      <c r="U1306" s="284"/>
      <c r="V1306" s="284"/>
      <c r="W1306" s="284"/>
    </row>
    <row r="1307" spans="2:23" ht="15.75" thickBot="1" x14ac:dyDescent="0.3">
      <c r="B1307" s="386" t="s">
        <v>317</v>
      </c>
      <c r="C1307" s="386"/>
      <c r="D1307" s="386"/>
      <c r="E1307" s="386"/>
      <c r="F1307" s="386"/>
      <c r="G1307" s="286"/>
      <c r="H1307" s="286"/>
      <c r="I1307" s="284"/>
      <c r="J1307" s="284"/>
      <c r="K1307" s="389" t="s">
        <v>277</v>
      </c>
      <c r="L1307" s="369"/>
      <c r="M1307" s="369"/>
      <c r="N1307" s="369"/>
      <c r="O1307" s="369"/>
      <c r="P1307" s="369"/>
      <c r="Q1307" s="368"/>
      <c r="R1307" s="388" t="s">
        <v>458</v>
      </c>
      <c r="S1307" s="377"/>
      <c r="T1307" s="377"/>
      <c r="U1307" s="377"/>
      <c r="V1307" s="377"/>
      <c r="W1307" s="284"/>
    </row>
    <row r="1308" spans="2:23" ht="15.75" thickBot="1" x14ac:dyDescent="0.3">
      <c r="B1308" s="386" t="s">
        <v>254</v>
      </c>
      <c r="C1308" s="386"/>
      <c r="D1308" s="386" t="s">
        <v>254</v>
      </c>
      <c r="E1308" s="386"/>
      <c r="F1308" s="192" t="s">
        <v>313</v>
      </c>
      <c r="G1308" s="286" t="s">
        <v>314</v>
      </c>
      <c r="H1308" s="286" t="s">
        <v>316</v>
      </c>
      <c r="I1308" s="284"/>
      <c r="J1308" s="284"/>
      <c r="K1308" s="164"/>
      <c r="L1308" s="171" t="s">
        <v>264</v>
      </c>
      <c r="M1308" s="172" t="s">
        <v>265</v>
      </c>
      <c r="N1308" s="172" t="s">
        <v>266</v>
      </c>
      <c r="O1308" s="172" t="s">
        <v>267</v>
      </c>
      <c r="P1308" s="172" t="s">
        <v>268</v>
      </c>
      <c r="Q1308" s="173" t="s">
        <v>269</v>
      </c>
      <c r="R1308" s="388" t="s">
        <v>254</v>
      </c>
      <c r="S1308" s="385"/>
      <c r="T1308" s="190" t="s">
        <v>313</v>
      </c>
      <c r="U1308" s="284" t="s">
        <v>314</v>
      </c>
      <c r="V1308" s="284" t="s">
        <v>316</v>
      </c>
      <c r="W1308" s="284"/>
    </row>
    <row r="1309" spans="2:23" x14ac:dyDescent="0.25">
      <c r="B1309" s="286">
        <v>0</v>
      </c>
      <c r="C1309" s="286">
        <v>10</v>
      </c>
      <c r="D1309" s="286">
        <v>1</v>
      </c>
      <c r="E1309" s="286">
        <v>10</v>
      </c>
      <c r="F1309" s="286">
        <f>E1309-D1309+1</f>
        <v>10</v>
      </c>
      <c r="G1309" s="284">
        <v>1.5</v>
      </c>
      <c r="H1309" s="286">
        <f>(F1309*G1309+F1310*G1310+F1311*G1311+F1312*G1312+F1313*G1313+F1314*G1314)/100</f>
        <v>2.58</v>
      </c>
      <c r="I1309" s="284"/>
      <c r="J1309" s="284"/>
      <c r="K1309" s="136" t="s">
        <v>270</v>
      </c>
      <c r="L1309" s="161">
        <v>2</v>
      </c>
      <c r="M1309" s="162">
        <v>1.5</v>
      </c>
      <c r="N1309" s="162">
        <v>1</v>
      </c>
      <c r="O1309" s="162">
        <v>2</v>
      </c>
      <c r="P1309" s="162">
        <v>1.5</v>
      </c>
      <c r="Q1309" s="163">
        <v>1.5</v>
      </c>
      <c r="R1309" s="284">
        <v>0</v>
      </c>
      <c r="S1309" s="284">
        <v>10</v>
      </c>
      <c r="T1309" s="284">
        <f>S1309-R1309+1</f>
        <v>11</v>
      </c>
      <c r="U1309" s="284">
        <v>1.5</v>
      </c>
      <c r="V1309" s="284">
        <f>(U1309*T1309+U1310*T1310+U1311*T1311+U1312*T1312+U1313*T1313)/100</f>
        <v>2.5649999999999999</v>
      </c>
      <c r="W1309" s="284"/>
    </row>
    <row r="1310" spans="2:23" x14ac:dyDescent="0.25">
      <c r="B1310" s="286">
        <v>11</v>
      </c>
      <c r="C1310" s="286">
        <v>25</v>
      </c>
      <c r="D1310" s="286">
        <v>11</v>
      </c>
      <c r="E1310" s="286">
        <v>25</v>
      </c>
      <c r="F1310" s="286">
        <f t="shared" ref="F1310:F1314" si="138">E1310-D1310+1</f>
        <v>15</v>
      </c>
      <c r="G1310" s="284">
        <v>2</v>
      </c>
      <c r="H1310" s="286"/>
      <c r="I1310" s="284"/>
      <c r="J1310" s="284"/>
      <c r="K1310" s="157" t="s">
        <v>271</v>
      </c>
      <c r="L1310" s="158">
        <v>2.5</v>
      </c>
      <c r="M1310" s="159">
        <v>2</v>
      </c>
      <c r="N1310" s="159">
        <v>1.5</v>
      </c>
      <c r="O1310" s="159">
        <v>2.5</v>
      </c>
      <c r="P1310" s="159">
        <v>2</v>
      </c>
      <c r="Q1310" s="160">
        <v>2</v>
      </c>
      <c r="R1310" s="284">
        <v>11</v>
      </c>
      <c r="S1310" s="284">
        <v>25</v>
      </c>
      <c r="T1310" s="284">
        <f t="shared" ref="T1310:T1313" si="139">S1310-R1310+1</f>
        <v>15</v>
      </c>
      <c r="U1310" s="284">
        <v>2</v>
      </c>
      <c r="V1310" s="284"/>
      <c r="W1310" s="284"/>
    </row>
    <row r="1311" spans="2:23" x14ac:dyDescent="0.25">
      <c r="B1311" s="286">
        <v>26</v>
      </c>
      <c r="C1311" s="286">
        <v>55</v>
      </c>
      <c r="D1311" s="286">
        <v>26</v>
      </c>
      <c r="E1311" s="286">
        <v>55</v>
      </c>
      <c r="F1311" s="286">
        <f t="shared" si="138"/>
        <v>30</v>
      </c>
      <c r="G1311" s="284">
        <v>2.5</v>
      </c>
      <c r="H1311" s="286"/>
      <c r="I1311" s="284"/>
      <c r="J1311" s="284"/>
      <c r="K1311" s="138" t="s">
        <v>272</v>
      </c>
      <c r="L1311" s="150">
        <v>3</v>
      </c>
      <c r="M1311" s="151">
        <v>2.5</v>
      </c>
      <c r="N1311" s="151">
        <v>1.5</v>
      </c>
      <c r="O1311" s="151">
        <v>3</v>
      </c>
      <c r="P1311" s="151">
        <v>2.5</v>
      </c>
      <c r="Q1311" s="152">
        <v>2.5</v>
      </c>
      <c r="R1311" s="284">
        <v>26</v>
      </c>
      <c r="S1311" s="284">
        <v>55</v>
      </c>
      <c r="T1311" s="284">
        <f t="shared" si="139"/>
        <v>30</v>
      </c>
      <c r="U1311" s="284">
        <v>2.5</v>
      </c>
      <c r="V1311" s="284"/>
      <c r="W1311" s="284"/>
    </row>
    <row r="1312" spans="2:23" x14ac:dyDescent="0.25">
      <c r="B1312" s="286">
        <v>56</v>
      </c>
      <c r="C1312" s="286">
        <v>85</v>
      </c>
      <c r="D1312" s="286">
        <v>56</v>
      </c>
      <c r="E1312" s="286">
        <v>85</v>
      </c>
      <c r="F1312" s="286">
        <f t="shared" si="138"/>
        <v>30</v>
      </c>
      <c r="G1312" s="284">
        <v>3</v>
      </c>
      <c r="H1312" s="286"/>
      <c r="I1312" s="284"/>
      <c r="J1312" s="284"/>
      <c r="K1312" s="137" t="s">
        <v>273</v>
      </c>
      <c r="L1312" s="147">
        <v>3</v>
      </c>
      <c r="M1312" s="148">
        <v>3</v>
      </c>
      <c r="N1312" s="148">
        <v>1.5</v>
      </c>
      <c r="O1312" s="148">
        <v>3</v>
      </c>
      <c r="P1312" s="148">
        <v>3</v>
      </c>
      <c r="Q1312" s="149">
        <v>3</v>
      </c>
      <c r="R1312" s="284">
        <v>56</v>
      </c>
      <c r="S1312" s="284">
        <v>85</v>
      </c>
      <c r="T1312" s="284">
        <f t="shared" si="139"/>
        <v>30</v>
      </c>
      <c r="U1312" s="284">
        <v>3</v>
      </c>
      <c r="V1312" s="284"/>
      <c r="W1312" s="284"/>
    </row>
    <row r="1313" spans="2:23" x14ac:dyDescent="0.25">
      <c r="B1313" s="286">
        <v>86</v>
      </c>
      <c r="C1313" s="286">
        <v>100</v>
      </c>
      <c r="D1313" s="286">
        <v>86</v>
      </c>
      <c r="E1313" s="286">
        <v>100</v>
      </c>
      <c r="F1313" s="286">
        <f t="shared" si="138"/>
        <v>15</v>
      </c>
      <c r="G1313" s="284">
        <v>3</v>
      </c>
      <c r="H1313" s="286"/>
      <c r="I1313" s="284"/>
      <c r="J1313" s="284"/>
      <c r="K1313" s="153" t="s">
        <v>274</v>
      </c>
      <c r="L1313" s="154">
        <v>3.5</v>
      </c>
      <c r="M1313" s="155">
        <v>3.5</v>
      </c>
      <c r="N1313" s="155">
        <v>2</v>
      </c>
      <c r="O1313" s="155">
        <v>3.5</v>
      </c>
      <c r="P1313" s="155">
        <v>3</v>
      </c>
      <c r="Q1313" s="156">
        <v>3</v>
      </c>
      <c r="R1313" s="284">
        <v>86</v>
      </c>
      <c r="S1313" s="284">
        <v>100</v>
      </c>
      <c r="T1313" s="284">
        <f t="shared" si="139"/>
        <v>15</v>
      </c>
      <c r="U1313" s="284">
        <v>3</v>
      </c>
      <c r="V1313" s="284"/>
      <c r="W1313" s="284"/>
    </row>
    <row r="1314" spans="2:23" x14ac:dyDescent="0.25">
      <c r="B1314" s="286">
        <v>101</v>
      </c>
      <c r="C1314" s="286">
        <v>110</v>
      </c>
      <c r="D1314" s="286">
        <v>101</v>
      </c>
      <c r="E1314" s="286">
        <v>101</v>
      </c>
      <c r="F1314" s="286">
        <f t="shared" si="138"/>
        <v>1</v>
      </c>
      <c r="G1314" s="284">
        <v>3</v>
      </c>
      <c r="H1314" s="286"/>
      <c r="I1314" s="284"/>
      <c r="J1314" s="284"/>
      <c r="K1314" s="143" t="s">
        <v>275</v>
      </c>
      <c r="L1314" s="144">
        <v>4</v>
      </c>
      <c r="M1314" s="287">
        <v>3.5</v>
      </c>
      <c r="N1314" s="287">
        <v>2</v>
      </c>
      <c r="O1314" s="287">
        <v>3.5</v>
      </c>
      <c r="P1314" s="287">
        <v>3</v>
      </c>
      <c r="Q1314" s="146">
        <v>3</v>
      </c>
      <c r="R1314" s="284">
        <v>101</v>
      </c>
      <c r="S1314" s="284">
        <v>110</v>
      </c>
      <c r="T1314" s="284"/>
      <c r="U1314" s="284">
        <v>3</v>
      </c>
      <c r="V1314" s="284"/>
      <c r="W1314" s="284"/>
    </row>
    <row r="1315" spans="2:23" ht="15.75" thickBot="1" x14ac:dyDescent="0.3">
      <c r="B1315" s="286">
        <v>111</v>
      </c>
      <c r="C1315" s="286">
        <v>120</v>
      </c>
      <c r="D1315" s="286"/>
      <c r="E1315" s="286"/>
      <c r="F1315" s="286"/>
      <c r="G1315" s="284">
        <v>3</v>
      </c>
      <c r="H1315" s="286"/>
      <c r="I1315" s="284"/>
      <c r="J1315" s="284"/>
      <c r="K1315" s="139" t="s">
        <v>276</v>
      </c>
      <c r="L1315" s="140">
        <v>4</v>
      </c>
      <c r="M1315" s="141">
        <v>4</v>
      </c>
      <c r="N1315" s="141">
        <v>2.5</v>
      </c>
      <c r="O1315" s="141">
        <v>3.5</v>
      </c>
      <c r="P1315" s="141">
        <v>3</v>
      </c>
      <c r="Q1315" s="142">
        <v>3</v>
      </c>
      <c r="R1315" s="284">
        <v>111</v>
      </c>
      <c r="S1315" s="284">
        <v>120</v>
      </c>
      <c r="T1315" s="284"/>
      <c r="U1315" s="284">
        <v>3</v>
      </c>
      <c r="V1315" s="284"/>
      <c r="W1315" s="284"/>
    </row>
    <row r="1316" spans="2:23" x14ac:dyDescent="0.25">
      <c r="B1316" s="284"/>
      <c r="C1316" s="284"/>
      <c r="D1316" s="284"/>
      <c r="E1316" s="284"/>
      <c r="F1316" s="284"/>
      <c r="G1316" s="284"/>
      <c r="H1316" s="284"/>
      <c r="I1316" s="284"/>
      <c r="J1316" s="284"/>
      <c r="K1316" s="284"/>
      <c r="L1316" s="284"/>
      <c r="M1316" s="284"/>
      <c r="N1316" s="284"/>
      <c r="O1316" s="284"/>
      <c r="P1316" s="284"/>
      <c r="Q1316" s="284"/>
      <c r="R1316" s="284"/>
      <c r="S1316" s="284"/>
      <c r="T1316" s="284"/>
      <c r="U1316" s="284"/>
      <c r="V1316" s="284"/>
      <c r="W1316" s="284"/>
    </row>
    <row r="1317" spans="2:23" x14ac:dyDescent="0.25">
      <c r="B1317" s="284"/>
      <c r="C1317" s="284"/>
      <c r="D1317" s="284"/>
      <c r="E1317" s="284"/>
      <c r="F1317" s="284"/>
      <c r="G1317" s="284"/>
      <c r="H1317" s="284"/>
      <c r="I1317" s="284"/>
      <c r="J1317" s="284"/>
      <c r="K1317" s="284"/>
      <c r="L1317" s="284"/>
      <c r="M1317" s="284"/>
      <c r="N1317" s="284"/>
      <c r="O1317" s="284"/>
      <c r="P1317" s="284"/>
      <c r="Q1317" s="284"/>
      <c r="R1317" s="284"/>
      <c r="S1317" s="284"/>
      <c r="T1317" s="284"/>
      <c r="U1317" s="284"/>
      <c r="V1317" s="284"/>
      <c r="W1317" s="284"/>
    </row>
    <row r="1318" spans="2:23" x14ac:dyDescent="0.25">
      <c r="B1318" s="386" t="s">
        <v>318</v>
      </c>
      <c r="C1318" s="386"/>
      <c r="D1318" s="386"/>
      <c r="E1318" s="386"/>
      <c r="F1318" s="386"/>
      <c r="G1318" s="286"/>
      <c r="H1318" s="286"/>
      <c r="I1318" s="284"/>
      <c r="J1318" s="284"/>
      <c r="K1318" s="284"/>
      <c r="L1318" s="284"/>
      <c r="M1318" s="284"/>
      <c r="N1318" s="284"/>
      <c r="O1318" s="284"/>
      <c r="P1318" s="284"/>
      <c r="Q1318" s="284"/>
      <c r="R1318" s="284"/>
      <c r="S1318" s="284"/>
      <c r="T1318" s="284"/>
      <c r="U1318" s="284"/>
      <c r="V1318" s="284"/>
      <c r="W1318" s="284"/>
    </row>
    <row r="1319" spans="2:23" x14ac:dyDescent="0.25">
      <c r="B1319" s="386" t="s">
        <v>254</v>
      </c>
      <c r="C1319" s="386"/>
      <c r="D1319" s="386" t="s">
        <v>254</v>
      </c>
      <c r="E1319" s="386"/>
      <c r="F1319" s="192" t="s">
        <v>313</v>
      </c>
      <c r="G1319" s="286" t="s">
        <v>314</v>
      </c>
      <c r="H1319" s="286" t="s">
        <v>316</v>
      </c>
      <c r="I1319" s="284"/>
      <c r="J1319" s="284"/>
      <c r="K1319" s="284"/>
      <c r="L1319" s="284"/>
      <c r="M1319" s="284"/>
      <c r="N1319" s="284"/>
      <c r="O1319" s="284"/>
      <c r="P1319" s="284"/>
      <c r="Q1319" s="284"/>
      <c r="R1319" s="284"/>
      <c r="S1319" s="284"/>
      <c r="T1319" s="284"/>
      <c r="U1319" s="284"/>
      <c r="V1319" s="284"/>
      <c r="W1319" s="284"/>
    </row>
    <row r="1320" spans="2:23" x14ac:dyDescent="0.25">
      <c r="B1320" s="286">
        <v>0</v>
      </c>
      <c r="C1320" s="286">
        <v>10</v>
      </c>
      <c r="D1320" s="286">
        <v>2</v>
      </c>
      <c r="E1320" s="286">
        <v>10</v>
      </c>
      <c r="F1320" s="286">
        <f>E1320-D1320+1</f>
        <v>9</v>
      </c>
      <c r="G1320" s="284">
        <v>1.5</v>
      </c>
      <c r="H1320" s="286">
        <f>(F1320*G1320+F1321*G1321+F1322*G1322+F1323*G1323+F1324*G1324+F1325*G1325)/100</f>
        <v>2.5950000000000002</v>
      </c>
      <c r="I1320" s="284"/>
      <c r="J1320" s="284"/>
      <c r="K1320" s="284"/>
      <c r="L1320" s="284"/>
      <c r="M1320" s="284"/>
      <c r="N1320" s="284"/>
      <c r="O1320" s="284"/>
      <c r="P1320" s="284"/>
      <c r="Q1320" s="284"/>
      <c r="R1320" s="284"/>
      <c r="S1320" s="284"/>
      <c r="T1320" s="284"/>
      <c r="U1320" s="284"/>
      <c r="V1320" s="284"/>
      <c r="W1320" s="284"/>
    </row>
    <row r="1321" spans="2:23" x14ac:dyDescent="0.25">
      <c r="B1321" s="286">
        <v>11</v>
      </c>
      <c r="C1321" s="286">
        <v>25</v>
      </c>
      <c r="D1321" s="286">
        <v>11</v>
      </c>
      <c r="E1321" s="286">
        <v>25</v>
      </c>
      <c r="F1321" s="286">
        <f t="shared" ref="F1321:F1325" si="140">E1321-D1321+1</f>
        <v>15</v>
      </c>
      <c r="G1321" s="284">
        <v>2</v>
      </c>
      <c r="H1321" s="286"/>
      <c r="I1321" s="284"/>
      <c r="J1321" s="284"/>
      <c r="K1321" s="284"/>
      <c r="L1321" s="284"/>
      <c r="M1321" s="284"/>
      <c r="N1321" s="284"/>
      <c r="O1321" s="284"/>
      <c r="P1321" s="284"/>
      <c r="Q1321" s="284"/>
      <c r="R1321" s="284"/>
      <c r="S1321" s="284"/>
      <c r="T1321" s="284"/>
      <c r="U1321" s="284"/>
      <c r="V1321" s="284"/>
      <c r="W1321" s="284"/>
    </row>
    <row r="1322" spans="2:23" x14ac:dyDescent="0.25">
      <c r="B1322" s="286">
        <v>26</v>
      </c>
      <c r="C1322" s="286">
        <v>55</v>
      </c>
      <c r="D1322" s="286">
        <v>26</v>
      </c>
      <c r="E1322" s="286">
        <v>55</v>
      </c>
      <c r="F1322" s="286">
        <f t="shared" si="140"/>
        <v>30</v>
      </c>
      <c r="G1322" s="284">
        <v>2.5</v>
      </c>
      <c r="H1322" s="286"/>
      <c r="I1322" s="284"/>
      <c r="J1322" s="284"/>
      <c r="K1322" s="284"/>
      <c r="L1322" s="284"/>
      <c r="M1322" s="284"/>
      <c r="N1322" s="284"/>
      <c r="O1322" s="284"/>
      <c r="P1322" s="284"/>
      <c r="Q1322" s="284"/>
      <c r="R1322" s="284"/>
      <c r="S1322" s="284"/>
      <c r="T1322" s="284"/>
      <c r="U1322" s="284"/>
      <c r="V1322" s="284"/>
      <c r="W1322" s="284"/>
    </row>
    <row r="1323" spans="2:23" x14ac:dyDescent="0.25">
      <c r="B1323" s="286">
        <v>56</v>
      </c>
      <c r="C1323" s="286">
        <v>85</v>
      </c>
      <c r="D1323" s="286">
        <v>56</v>
      </c>
      <c r="E1323" s="286">
        <v>85</v>
      </c>
      <c r="F1323" s="286">
        <f t="shared" si="140"/>
        <v>30</v>
      </c>
      <c r="G1323" s="284">
        <v>3</v>
      </c>
      <c r="H1323" s="286"/>
      <c r="I1323" s="284"/>
      <c r="J1323" s="284"/>
      <c r="K1323" s="284"/>
      <c r="L1323" s="284"/>
      <c r="M1323" s="284"/>
      <c r="N1323" s="284"/>
      <c r="O1323" s="284"/>
      <c r="P1323" s="284"/>
      <c r="Q1323" s="284"/>
      <c r="R1323" s="284"/>
      <c r="S1323" s="284"/>
      <c r="T1323" s="284"/>
      <c r="U1323" s="284"/>
      <c r="V1323" s="284"/>
      <c r="W1323" s="284"/>
    </row>
    <row r="1324" spans="2:23" x14ac:dyDescent="0.25">
      <c r="B1324" s="286">
        <v>86</v>
      </c>
      <c r="C1324" s="286">
        <v>100</v>
      </c>
      <c r="D1324" s="286">
        <v>86</v>
      </c>
      <c r="E1324" s="286">
        <v>100</v>
      </c>
      <c r="F1324" s="286">
        <f t="shared" si="140"/>
        <v>15</v>
      </c>
      <c r="G1324" s="284">
        <v>3</v>
      </c>
      <c r="H1324" s="286"/>
      <c r="I1324" s="284"/>
      <c r="J1324" s="284"/>
      <c r="K1324" s="284"/>
      <c r="L1324" s="284"/>
      <c r="M1324" s="284"/>
      <c r="N1324" s="284"/>
      <c r="O1324" s="284"/>
      <c r="P1324" s="284"/>
      <c r="Q1324" s="284"/>
      <c r="R1324" s="284"/>
      <c r="S1324" s="284"/>
      <c r="T1324" s="284"/>
      <c r="U1324" s="284"/>
      <c r="V1324" s="284"/>
      <c r="W1324" s="284"/>
    </row>
    <row r="1325" spans="2:23" x14ac:dyDescent="0.25">
      <c r="B1325" s="286">
        <v>101</v>
      </c>
      <c r="C1325" s="286">
        <v>110</v>
      </c>
      <c r="D1325" s="286">
        <v>101</v>
      </c>
      <c r="E1325" s="286">
        <v>102</v>
      </c>
      <c r="F1325" s="286">
        <f t="shared" si="140"/>
        <v>2</v>
      </c>
      <c r="G1325" s="284">
        <v>3</v>
      </c>
      <c r="H1325" s="286"/>
      <c r="I1325" s="284"/>
      <c r="J1325" s="284"/>
      <c r="K1325" s="284"/>
      <c r="L1325" s="284"/>
      <c r="M1325" s="284"/>
      <c r="N1325" s="284"/>
      <c r="O1325" s="284"/>
      <c r="P1325" s="284"/>
      <c r="Q1325" s="284"/>
      <c r="R1325" s="284"/>
      <c r="S1325" s="284"/>
      <c r="T1325" s="284"/>
      <c r="U1325" s="284"/>
      <c r="V1325" s="284"/>
      <c r="W1325" s="284"/>
    </row>
    <row r="1326" spans="2:23" x14ac:dyDescent="0.25">
      <c r="B1326" s="286">
        <v>111</v>
      </c>
      <c r="C1326" s="286">
        <v>120</v>
      </c>
      <c r="D1326" s="286"/>
      <c r="E1326" s="286"/>
      <c r="F1326" s="286"/>
      <c r="G1326" s="284">
        <v>3</v>
      </c>
      <c r="H1326" s="286"/>
      <c r="I1326" s="284"/>
      <c r="J1326" s="284"/>
      <c r="K1326" s="284"/>
      <c r="L1326" s="284"/>
      <c r="M1326" s="284"/>
      <c r="N1326" s="284"/>
      <c r="O1326" s="284"/>
      <c r="P1326" s="284"/>
      <c r="Q1326" s="284"/>
      <c r="R1326" s="284"/>
      <c r="S1326" s="284"/>
      <c r="T1326" s="284"/>
      <c r="U1326" s="284"/>
      <c r="V1326" s="284"/>
      <c r="W1326" s="284"/>
    </row>
    <row r="1327" spans="2:23" x14ac:dyDescent="0.25">
      <c r="B1327" s="284"/>
      <c r="C1327" s="284"/>
      <c r="D1327" s="284"/>
      <c r="E1327" s="284"/>
      <c r="F1327" s="284"/>
      <c r="G1327" s="284"/>
      <c r="H1327" s="284"/>
      <c r="I1327" s="284"/>
      <c r="J1327" s="284"/>
      <c r="K1327" s="284"/>
      <c r="L1327" s="284"/>
      <c r="M1327" s="284"/>
      <c r="N1327" s="284"/>
      <c r="O1327" s="284"/>
      <c r="P1327" s="284"/>
      <c r="Q1327" s="284"/>
      <c r="R1327" s="284"/>
      <c r="S1327" s="284"/>
      <c r="T1327" s="284"/>
      <c r="U1327" s="284"/>
      <c r="V1327" s="284"/>
      <c r="W1327" s="284"/>
    </row>
    <row r="1328" spans="2:23" x14ac:dyDescent="0.25">
      <c r="B1328" s="386" t="s">
        <v>320</v>
      </c>
      <c r="C1328" s="386"/>
      <c r="D1328" s="386"/>
      <c r="E1328" s="386"/>
      <c r="F1328" s="386"/>
      <c r="G1328" s="286"/>
      <c r="H1328" s="286"/>
      <c r="I1328" s="284"/>
      <c r="J1328" s="284"/>
      <c r="K1328" s="284"/>
      <c r="L1328" s="284"/>
      <c r="M1328" s="284"/>
      <c r="N1328" s="284"/>
      <c r="O1328" s="284"/>
      <c r="P1328" s="284"/>
      <c r="Q1328" s="284"/>
      <c r="R1328" s="284"/>
      <c r="S1328" s="284"/>
      <c r="T1328" s="284"/>
      <c r="U1328" s="284"/>
      <c r="V1328" s="284"/>
      <c r="W1328" s="284"/>
    </row>
    <row r="1329" spans="2:23" x14ac:dyDescent="0.25">
      <c r="B1329" s="386" t="s">
        <v>254</v>
      </c>
      <c r="C1329" s="386"/>
      <c r="D1329" s="386" t="s">
        <v>254</v>
      </c>
      <c r="E1329" s="386"/>
      <c r="F1329" s="192" t="s">
        <v>313</v>
      </c>
      <c r="G1329" s="286" t="s">
        <v>314</v>
      </c>
      <c r="H1329" s="286" t="s">
        <v>316</v>
      </c>
      <c r="I1329" s="284"/>
      <c r="J1329" s="284"/>
      <c r="K1329" s="284"/>
      <c r="L1329" s="284"/>
      <c r="M1329" s="284"/>
      <c r="N1329" s="284"/>
      <c r="O1329" s="284"/>
      <c r="P1329" s="284"/>
      <c r="Q1329" s="284"/>
      <c r="R1329" s="284"/>
      <c r="S1329" s="284"/>
      <c r="T1329" s="284"/>
      <c r="U1329" s="284"/>
      <c r="V1329" s="284"/>
      <c r="W1329" s="284"/>
    </row>
    <row r="1330" spans="2:23" x14ac:dyDescent="0.25">
      <c r="B1330" s="286">
        <v>0</v>
      </c>
      <c r="C1330" s="286">
        <v>10</v>
      </c>
      <c r="D1330" s="286">
        <v>3</v>
      </c>
      <c r="E1330" s="286">
        <v>10</v>
      </c>
      <c r="F1330" s="286">
        <f>E1330-D1330+1</f>
        <v>8</v>
      </c>
      <c r="G1330" s="284">
        <v>1.5</v>
      </c>
      <c r="H1330" s="286">
        <f>(F1330*G1330+F1331*G1331+F1332*G1332+F1333*G1333+F1334*G1334+F1335*G1335)/100</f>
        <v>2.61</v>
      </c>
      <c r="I1330" s="284"/>
      <c r="J1330" s="284"/>
      <c r="K1330" s="284"/>
      <c r="L1330" s="284"/>
      <c r="M1330" s="284"/>
      <c r="N1330" s="284"/>
      <c r="O1330" s="284"/>
      <c r="P1330" s="284"/>
      <c r="Q1330" s="284"/>
      <c r="R1330" s="284"/>
      <c r="S1330" s="284"/>
      <c r="T1330" s="284"/>
      <c r="U1330" s="284"/>
      <c r="V1330" s="284"/>
      <c r="W1330" s="284"/>
    </row>
    <row r="1331" spans="2:23" x14ac:dyDescent="0.25">
      <c r="B1331" s="286">
        <v>11</v>
      </c>
      <c r="C1331" s="286">
        <v>25</v>
      </c>
      <c r="D1331" s="286">
        <v>11</v>
      </c>
      <c r="E1331" s="286">
        <v>25</v>
      </c>
      <c r="F1331" s="286">
        <f t="shared" ref="F1331:F1335" si="141">E1331-D1331+1</f>
        <v>15</v>
      </c>
      <c r="G1331" s="284">
        <v>2</v>
      </c>
      <c r="H1331" s="286"/>
      <c r="I1331" s="284"/>
      <c r="J1331" s="284"/>
      <c r="K1331" s="284"/>
      <c r="L1331" s="284"/>
      <c r="M1331" s="284"/>
      <c r="N1331" s="284"/>
      <c r="O1331" s="284"/>
      <c r="P1331" s="284"/>
      <c r="Q1331" s="284"/>
      <c r="R1331" s="284"/>
      <c r="S1331" s="284"/>
      <c r="T1331" s="284"/>
      <c r="U1331" s="284"/>
      <c r="V1331" s="284"/>
      <c r="W1331" s="284"/>
    </row>
    <row r="1332" spans="2:23" x14ac:dyDescent="0.25">
      <c r="B1332" s="286">
        <v>26</v>
      </c>
      <c r="C1332" s="286">
        <v>55</v>
      </c>
      <c r="D1332" s="286">
        <v>26</v>
      </c>
      <c r="E1332" s="286">
        <v>55</v>
      </c>
      <c r="F1332" s="286">
        <f t="shared" si="141"/>
        <v>30</v>
      </c>
      <c r="G1332" s="284">
        <v>2.5</v>
      </c>
      <c r="H1332" s="286"/>
      <c r="I1332" s="284"/>
      <c r="J1332" s="284"/>
      <c r="K1332" s="284"/>
      <c r="L1332" s="284"/>
      <c r="M1332" s="284"/>
      <c r="N1332" s="284"/>
      <c r="O1332" s="284"/>
      <c r="P1332" s="284"/>
      <c r="Q1332" s="284"/>
      <c r="R1332" s="284"/>
      <c r="S1332" s="284"/>
      <c r="T1332" s="284"/>
      <c r="U1332" s="284"/>
      <c r="V1332" s="284"/>
      <c r="W1332" s="284"/>
    </row>
    <row r="1333" spans="2:23" x14ac:dyDescent="0.25">
      <c r="B1333" s="286">
        <v>56</v>
      </c>
      <c r="C1333" s="286">
        <v>85</v>
      </c>
      <c r="D1333" s="286">
        <v>56</v>
      </c>
      <c r="E1333" s="286">
        <v>85</v>
      </c>
      <c r="F1333" s="286">
        <f t="shared" si="141"/>
        <v>30</v>
      </c>
      <c r="G1333" s="284">
        <v>3</v>
      </c>
      <c r="H1333" s="286"/>
      <c r="I1333" s="284"/>
      <c r="J1333" s="284"/>
      <c r="K1333" s="284"/>
      <c r="L1333" s="284"/>
      <c r="M1333" s="284"/>
      <c r="N1333" s="284"/>
      <c r="O1333" s="284"/>
      <c r="P1333" s="284"/>
      <c r="Q1333" s="284"/>
      <c r="R1333" s="284"/>
      <c r="S1333" s="284"/>
      <c r="T1333" s="284"/>
      <c r="U1333" s="284"/>
      <c r="V1333" s="284"/>
      <c r="W1333" s="284"/>
    </row>
    <row r="1334" spans="2:23" x14ac:dyDescent="0.25">
      <c r="B1334" s="286">
        <v>86</v>
      </c>
      <c r="C1334" s="286">
        <v>100</v>
      </c>
      <c r="D1334" s="286">
        <v>86</v>
      </c>
      <c r="E1334" s="286">
        <v>100</v>
      </c>
      <c r="F1334" s="286">
        <f t="shared" si="141"/>
        <v>15</v>
      </c>
      <c r="G1334" s="284">
        <v>3</v>
      </c>
      <c r="H1334" s="286"/>
      <c r="I1334" s="284"/>
      <c r="J1334" s="284"/>
      <c r="K1334" s="284"/>
      <c r="L1334" s="284"/>
      <c r="M1334" s="284"/>
      <c r="N1334" s="284"/>
      <c r="O1334" s="284"/>
      <c r="P1334" s="284"/>
      <c r="Q1334" s="284"/>
      <c r="R1334" s="284"/>
      <c r="S1334" s="284"/>
      <c r="T1334" s="284"/>
      <c r="U1334" s="284"/>
      <c r="V1334" s="284"/>
      <c r="W1334" s="284"/>
    </row>
    <row r="1335" spans="2:23" x14ac:dyDescent="0.25">
      <c r="B1335" s="286">
        <v>101</v>
      </c>
      <c r="C1335" s="286">
        <v>110</v>
      </c>
      <c r="D1335" s="286">
        <v>101</v>
      </c>
      <c r="E1335" s="286">
        <v>103</v>
      </c>
      <c r="F1335" s="286">
        <f t="shared" si="141"/>
        <v>3</v>
      </c>
      <c r="G1335" s="284">
        <v>3</v>
      </c>
      <c r="H1335" s="286"/>
      <c r="I1335" s="284"/>
      <c r="J1335" s="284"/>
      <c r="K1335" s="284"/>
      <c r="L1335" s="284"/>
      <c r="M1335" s="284"/>
      <c r="N1335" s="284"/>
      <c r="O1335" s="284"/>
      <c r="P1335" s="284"/>
      <c r="Q1335" s="284"/>
      <c r="R1335" s="284"/>
      <c r="S1335" s="284"/>
      <c r="T1335" s="284"/>
      <c r="U1335" s="284"/>
      <c r="V1335" s="284"/>
      <c r="W1335" s="284"/>
    </row>
    <row r="1336" spans="2:23" x14ac:dyDescent="0.25">
      <c r="B1336" s="286">
        <v>111</v>
      </c>
      <c r="C1336" s="286">
        <v>120</v>
      </c>
      <c r="D1336" s="286"/>
      <c r="E1336" s="286"/>
      <c r="F1336" s="286"/>
      <c r="G1336" s="284">
        <v>3</v>
      </c>
      <c r="H1336" s="286"/>
      <c r="I1336" s="284"/>
      <c r="J1336" s="284"/>
      <c r="K1336" s="284"/>
      <c r="L1336" s="284"/>
      <c r="M1336" s="284"/>
      <c r="N1336" s="284"/>
      <c r="O1336" s="284"/>
      <c r="P1336" s="284"/>
      <c r="Q1336" s="284"/>
      <c r="R1336" s="284"/>
      <c r="S1336" s="284"/>
      <c r="T1336" s="284"/>
      <c r="U1336" s="284"/>
      <c r="V1336" s="284"/>
      <c r="W1336" s="284"/>
    </row>
    <row r="1337" spans="2:23" x14ac:dyDescent="0.25">
      <c r="B1337" s="284"/>
      <c r="C1337" s="284"/>
      <c r="D1337" s="284"/>
      <c r="E1337" s="284"/>
      <c r="F1337" s="284"/>
      <c r="G1337" s="284"/>
      <c r="H1337" s="284"/>
      <c r="I1337" s="284"/>
      <c r="J1337" s="284"/>
      <c r="K1337" s="284"/>
      <c r="L1337" s="284"/>
      <c r="M1337" s="284"/>
      <c r="N1337" s="284"/>
      <c r="O1337" s="284"/>
      <c r="P1337" s="284"/>
      <c r="Q1337" s="284"/>
      <c r="R1337" s="284"/>
      <c r="S1337" s="284"/>
      <c r="T1337" s="284"/>
      <c r="U1337" s="284"/>
      <c r="V1337" s="284"/>
      <c r="W1337" s="284"/>
    </row>
    <row r="1338" spans="2:23" x14ac:dyDescent="0.25">
      <c r="B1338" s="386" t="s">
        <v>321</v>
      </c>
      <c r="C1338" s="386"/>
      <c r="D1338" s="386"/>
      <c r="E1338" s="386"/>
      <c r="F1338" s="386"/>
      <c r="G1338" s="286"/>
      <c r="H1338" s="286"/>
      <c r="I1338" s="284"/>
      <c r="J1338" s="284"/>
      <c r="K1338" s="284"/>
      <c r="L1338" s="284"/>
      <c r="M1338" s="284"/>
      <c r="N1338" s="284"/>
      <c r="O1338" s="284"/>
      <c r="P1338" s="284"/>
      <c r="Q1338" s="284"/>
      <c r="R1338" s="284"/>
      <c r="S1338" s="284"/>
      <c r="T1338" s="284"/>
      <c r="U1338" s="284"/>
      <c r="V1338" s="284"/>
      <c r="W1338" s="284"/>
    </row>
    <row r="1339" spans="2:23" x14ac:dyDescent="0.25">
      <c r="B1339" s="386" t="s">
        <v>254</v>
      </c>
      <c r="C1339" s="386"/>
      <c r="D1339" s="386" t="s">
        <v>254</v>
      </c>
      <c r="E1339" s="386"/>
      <c r="F1339" s="192" t="s">
        <v>313</v>
      </c>
      <c r="G1339" s="286" t="s">
        <v>314</v>
      </c>
      <c r="H1339" s="286" t="s">
        <v>316</v>
      </c>
      <c r="I1339" s="284"/>
      <c r="J1339" s="284"/>
      <c r="K1339" s="284"/>
      <c r="L1339" s="284"/>
      <c r="M1339" s="284"/>
      <c r="N1339" s="284"/>
      <c r="O1339" s="284"/>
      <c r="P1339" s="284"/>
      <c r="Q1339" s="284"/>
      <c r="R1339" s="284"/>
      <c r="S1339" s="284"/>
      <c r="T1339" s="284"/>
      <c r="U1339" s="284"/>
      <c r="V1339" s="284"/>
      <c r="W1339" s="284"/>
    </row>
    <row r="1340" spans="2:23" x14ac:dyDescent="0.25">
      <c r="B1340" s="286">
        <v>0</v>
      </c>
      <c r="C1340" s="286">
        <v>10</v>
      </c>
      <c r="D1340" s="286">
        <v>4</v>
      </c>
      <c r="E1340" s="286">
        <v>10</v>
      </c>
      <c r="F1340" s="286">
        <f>E1340-D1340+1</f>
        <v>7</v>
      </c>
      <c r="G1340" s="284">
        <v>1.5</v>
      </c>
      <c r="H1340" s="286">
        <f>(F1340*G1340+F1341*G1341+F1342*G1342+F1343*G1343+F1344*G1344+F1345*G1345)/100</f>
        <v>2.625</v>
      </c>
      <c r="I1340" s="284"/>
      <c r="J1340" s="284"/>
      <c r="K1340" s="284"/>
      <c r="L1340" s="284"/>
      <c r="M1340" s="284"/>
      <c r="N1340" s="284"/>
      <c r="O1340" s="284"/>
      <c r="P1340" s="284"/>
      <c r="Q1340" s="284"/>
      <c r="R1340" s="284"/>
      <c r="S1340" s="284"/>
      <c r="T1340" s="284"/>
      <c r="U1340" s="284"/>
      <c r="V1340" s="284"/>
      <c r="W1340" s="284"/>
    </row>
    <row r="1341" spans="2:23" x14ac:dyDescent="0.25">
      <c r="B1341" s="286">
        <v>11</v>
      </c>
      <c r="C1341" s="286">
        <v>25</v>
      </c>
      <c r="D1341" s="286">
        <v>11</v>
      </c>
      <c r="E1341" s="286">
        <v>25</v>
      </c>
      <c r="F1341" s="286">
        <f t="shared" ref="F1341:F1345" si="142">E1341-D1341+1</f>
        <v>15</v>
      </c>
      <c r="G1341" s="284">
        <v>2</v>
      </c>
      <c r="H1341" s="286"/>
      <c r="I1341" s="284"/>
      <c r="J1341" s="284"/>
      <c r="K1341" s="284"/>
      <c r="L1341" s="284"/>
      <c r="M1341" s="284"/>
      <c r="N1341" s="284"/>
      <c r="O1341" s="284"/>
      <c r="P1341" s="284"/>
      <c r="Q1341" s="284"/>
      <c r="R1341" s="284"/>
      <c r="S1341" s="284"/>
      <c r="T1341" s="284"/>
      <c r="U1341" s="284"/>
      <c r="V1341" s="284"/>
      <c r="W1341" s="284"/>
    </row>
    <row r="1342" spans="2:23" x14ac:dyDescent="0.25">
      <c r="B1342" s="286">
        <v>26</v>
      </c>
      <c r="C1342" s="286">
        <v>55</v>
      </c>
      <c r="D1342" s="286">
        <v>26</v>
      </c>
      <c r="E1342" s="286">
        <v>55</v>
      </c>
      <c r="F1342" s="286">
        <f t="shared" si="142"/>
        <v>30</v>
      </c>
      <c r="G1342" s="284">
        <v>2.5</v>
      </c>
      <c r="H1342" s="286"/>
      <c r="I1342" s="284"/>
      <c r="J1342" s="284"/>
      <c r="K1342" s="284"/>
      <c r="L1342" s="284"/>
      <c r="M1342" s="284"/>
      <c r="N1342" s="284"/>
      <c r="O1342" s="284"/>
      <c r="P1342" s="284"/>
      <c r="Q1342" s="284"/>
      <c r="R1342" s="284"/>
      <c r="S1342" s="284"/>
      <c r="T1342" s="284"/>
      <c r="U1342" s="284"/>
      <c r="V1342" s="284"/>
      <c r="W1342" s="284"/>
    </row>
    <row r="1343" spans="2:23" x14ac:dyDescent="0.25">
      <c r="B1343" s="286">
        <v>56</v>
      </c>
      <c r="C1343" s="286">
        <v>85</v>
      </c>
      <c r="D1343" s="286">
        <v>56</v>
      </c>
      <c r="E1343" s="286">
        <v>85</v>
      </c>
      <c r="F1343" s="286">
        <f t="shared" si="142"/>
        <v>30</v>
      </c>
      <c r="G1343" s="284">
        <v>3</v>
      </c>
      <c r="H1343" s="286"/>
      <c r="I1343" s="284"/>
      <c r="J1343" s="284"/>
      <c r="K1343" s="284"/>
      <c r="L1343" s="284"/>
      <c r="M1343" s="284"/>
      <c r="N1343" s="284"/>
      <c r="O1343" s="284"/>
      <c r="P1343" s="284"/>
      <c r="Q1343" s="284"/>
      <c r="R1343" s="284"/>
      <c r="S1343" s="284"/>
      <c r="T1343" s="284"/>
      <c r="U1343" s="284"/>
      <c r="V1343" s="284"/>
      <c r="W1343" s="284"/>
    </row>
    <row r="1344" spans="2:23" x14ac:dyDescent="0.25">
      <c r="B1344" s="286">
        <v>86</v>
      </c>
      <c r="C1344" s="286">
        <v>100</v>
      </c>
      <c r="D1344" s="286">
        <v>86</v>
      </c>
      <c r="E1344" s="286">
        <v>100</v>
      </c>
      <c r="F1344" s="286">
        <f t="shared" si="142"/>
        <v>15</v>
      </c>
      <c r="G1344" s="284">
        <v>3</v>
      </c>
      <c r="H1344" s="286"/>
      <c r="I1344" s="284"/>
      <c r="J1344" s="284"/>
      <c r="K1344" s="284"/>
      <c r="L1344" s="284"/>
      <c r="M1344" s="284"/>
      <c r="N1344" s="284"/>
      <c r="O1344" s="284"/>
      <c r="P1344" s="284"/>
      <c r="Q1344" s="284"/>
      <c r="R1344" s="284"/>
      <c r="S1344" s="284"/>
      <c r="T1344" s="284"/>
      <c r="U1344" s="284"/>
      <c r="V1344" s="284"/>
      <c r="W1344" s="284"/>
    </row>
    <row r="1345" spans="2:23" x14ac:dyDescent="0.25">
      <c r="B1345" s="286">
        <v>101</v>
      </c>
      <c r="C1345" s="286">
        <v>110</v>
      </c>
      <c r="D1345" s="286">
        <v>101</v>
      </c>
      <c r="E1345" s="286">
        <v>104</v>
      </c>
      <c r="F1345" s="286">
        <f t="shared" si="142"/>
        <v>4</v>
      </c>
      <c r="G1345" s="284">
        <v>3</v>
      </c>
      <c r="H1345" s="286"/>
      <c r="I1345" s="284"/>
      <c r="J1345" s="284"/>
      <c r="K1345" s="284"/>
      <c r="L1345" s="284"/>
      <c r="M1345" s="284"/>
      <c r="N1345" s="284"/>
      <c r="O1345" s="284"/>
      <c r="P1345" s="284"/>
      <c r="Q1345" s="284"/>
      <c r="R1345" s="284"/>
      <c r="S1345" s="284"/>
      <c r="T1345" s="284"/>
      <c r="U1345" s="284"/>
      <c r="V1345" s="284"/>
      <c r="W1345" s="284"/>
    </row>
    <row r="1346" spans="2:23" x14ac:dyDescent="0.25">
      <c r="B1346" s="286">
        <v>111</v>
      </c>
      <c r="C1346" s="286">
        <v>120</v>
      </c>
      <c r="D1346" s="286"/>
      <c r="E1346" s="286"/>
      <c r="F1346" s="286"/>
      <c r="G1346" s="284">
        <v>3</v>
      </c>
      <c r="H1346" s="286"/>
      <c r="I1346" s="284"/>
      <c r="J1346" s="284"/>
      <c r="K1346" s="284"/>
      <c r="L1346" s="284"/>
      <c r="M1346" s="284"/>
      <c r="N1346" s="284"/>
      <c r="O1346" s="284"/>
      <c r="P1346" s="284"/>
      <c r="Q1346" s="284"/>
      <c r="R1346" s="284"/>
      <c r="S1346" s="284"/>
      <c r="T1346" s="284"/>
      <c r="U1346" s="284"/>
      <c r="V1346" s="284"/>
      <c r="W1346" s="284"/>
    </row>
    <row r="1347" spans="2:23" x14ac:dyDescent="0.25">
      <c r="B1347" s="284"/>
      <c r="C1347" s="284"/>
      <c r="D1347" s="284"/>
      <c r="E1347" s="284"/>
      <c r="F1347" s="284"/>
      <c r="G1347" s="284"/>
      <c r="H1347" s="284"/>
      <c r="I1347" s="284"/>
      <c r="J1347" s="284"/>
      <c r="K1347" s="284"/>
      <c r="L1347" s="284"/>
      <c r="M1347" s="284"/>
      <c r="N1347" s="284"/>
      <c r="O1347" s="284"/>
      <c r="P1347" s="284"/>
      <c r="Q1347" s="284"/>
      <c r="R1347" s="284"/>
      <c r="S1347" s="284"/>
      <c r="T1347" s="284"/>
      <c r="U1347" s="284"/>
      <c r="V1347" s="284"/>
      <c r="W1347" s="284"/>
    </row>
    <row r="1348" spans="2:23" x14ac:dyDescent="0.25">
      <c r="B1348" s="386" t="s">
        <v>322</v>
      </c>
      <c r="C1348" s="386"/>
      <c r="D1348" s="386"/>
      <c r="E1348" s="386"/>
      <c r="F1348" s="386"/>
      <c r="G1348" s="286"/>
      <c r="H1348" s="286"/>
      <c r="I1348" s="284"/>
      <c r="J1348" s="284"/>
      <c r="K1348" s="284"/>
      <c r="L1348" s="284"/>
      <c r="M1348" s="284"/>
      <c r="N1348" s="284"/>
      <c r="O1348" s="284"/>
      <c r="P1348" s="284"/>
      <c r="Q1348" s="284"/>
      <c r="R1348" s="284"/>
      <c r="S1348" s="284"/>
      <c r="T1348" s="284"/>
      <c r="U1348" s="284"/>
      <c r="V1348" s="284"/>
      <c r="W1348" s="284"/>
    </row>
    <row r="1349" spans="2:23" x14ac:dyDescent="0.25">
      <c r="B1349" s="386" t="s">
        <v>254</v>
      </c>
      <c r="C1349" s="386"/>
      <c r="D1349" s="386" t="s">
        <v>254</v>
      </c>
      <c r="E1349" s="386"/>
      <c r="F1349" s="192" t="s">
        <v>313</v>
      </c>
      <c r="G1349" s="286" t="s">
        <v>314</v>
      </c>
      <c r="H1349" s="286" t="s">
        <v>316</v>
      </c>
      <c r="I1349" s="284"/>
      <c r="J1349" s="284"/>
      <c r="K1349" s="284"/>
      <c r="L1349" s="284"/>
      <c r="M1349" s="284"/>
      <c r="N1349" s="284"/>
      <c r="O1349" s="284"/>
      <c r="P1349" s="284"/>
      <c r="Q1349" s="284"/>
      <c r="R1349" s="284"/>
      <c r="S1349" s="284"/>
      <c r="T1349" s="284"/>
      <c r="U1349" s="284"/>
      <c r="V1349" s="284"/>
      <c r="W1349" s="284"/>
    </row>
    <row r="1350" spans="2:23" x14ac:dyDescent="0.25">
      <c r="B1350" s="286">
        <v>0</v>
      </c>
      <c r="C1350" s="286">
        <v>10</v>
      </c>
      <c r="D1350" s="286">
        <v>5</v>
      </c>
      <c r="E1350" s="286">
        <v>10</v>
      </c>
      <c r="F1350" s="286">
        <f>E1350-D1350+1</f>
        <v>6</v>
      </c>
      <c r="G1350" s="284">
        <v>1.5</v>
      </c>
      <c r="H1350" s="286">
        <f>(F1350*G1350+F1351*G1351+F1352*G1352+F1353*G1353+F1354*G1354+F1355*G1355)/100</f>
        <v>2.64</v>
      </c>
      <c r="I1350" s="284"/>
      <c r="J1350" s="284"/>
      <c r="K1350" s="284"/>
      <c r="L1350" s="284"/>
      <c r="M1350" s="284"/>
      <c r="N1350" s="284"/>
      <c r="O1350" s="284"/>
      <c r="P1350" s="284"/>
      <c r="Q1350" s="284"/>
      <c r="R1350" s="284"/>
      <c r="S1350" s="284"/>
      <c r="T1350" s="284"/>
      <c r="U1350" s="284"/>
      <c r="V1350" s="284"/>
      <c r="W1350" s="284"/>
    </row>
    <row r="1351" spans="2:23" x14ac:dyDescent="0.25">
      <c r="B1351" s="286">
        <v>11</v>
      </c>
      <c r="C1351" s="286">
        <v>25</v>
      </c>
      <c r="D1351" s="286">
        <v>11</v>
      </c>
      <c r="E1351" s="286">
        <v>25</v>
      </c>
      <c r="F1351" s="286">
        <f t="shared" ref="F1351:F1355" si="143">E1351-D1351+1</f>
        <v>15</v>
      </c>
      <c r="G1351" s="284">
        <v>2</v>
      </c>
      <c r="H1351" s="286"/>
      <c r="I1351" s="284"/>
      <c r="J1351" s="284"/>
      <c r="K1351" s="284"/>
      <c r="L1351" s="284"/>
      <c r="M1351" s="284"/>
      <c r="N1351" s="284"/>
      <c r="O1351" s="284"/>
      <c r="P1351" s="284"/>
      <c r="Q1351" s="284"/>
      <c r="R1351" s="284"/>
      <c r="S1351" s="284"/>
      <c r="T1351" s="284"/>
      <c r="U1351" s="284"/>
      <c r="V1351" s="284"/>
      <c r="W1351" s="284"/>
    </row>
    <row r="1352" spans="2:23" x14ac:dyDescent="0.25">
      <c r="B1352" s="286">
        <v>26</v>
      </c>
      <c r="C1352" s="286">
        <v>55</v>
      </c>
      <c r="D1352" s="286">
        <v>26</v>
      </c>
      <c r="E1352" s="286">
        <v>55</v>
      </c>
      <c r="F1352" s="286">
        <f t="shared" si="143"/>
        <v>30</v>
      </c>
      <c r="G1352" s="284">
        <v>2.5</v>
      </c>
      <c r="H1352" s="286"/>
      <c r="I1352" s="284"/>
      <c r="J1352" s="284"/>
      <c r="K1352" s="284"/>
      <c r="L1352" s="284"/>
      <c r="M1352" s="284"/>
      <c r="N1352" s="284"/>
      <c r="O1352" s="284"/>
      <c r="P1352" s="284"/>
      <c r="Q1352" s="284"/>
      <c r="R1352" s="284"/>
      <c r="S1352" s="284"/>
      <c r="T1352" s="284"/>
      <c r="U1352" s="284"/>
      <c r="V1352" s="284"/>
      <c r="W1352" s="284"/>
    </row>
    <row r="1353" spans="2:23" x14ac:dyDescent="0.25">
      <c r="B1353" s="286">
        <v>56</v>
      </c>
      <c r="C1353" s="286">
        <v>85</v>
      </c>
      <c r="D1353" s="286">
        <v>56</v>
      </c>
      <c r="E1353" s="286">
        <v>85</v>
      </c>
      <c r="F1353" s="286">
        <f t="shared" si="143"/>
        <v>30</v>
      </c>
      <c r="G1353" s="284">
        <v>3</v>
      </c>
      <c r="H1353" s="286"/>
      <c r="I1353" s="284"/>
      <c r="J1353" s="284"/>
      <c r="K1353" s="284"/>
      <c r="L1353" s="284"/>
      <c r="M1353" s="284"/>
      <c r="N1353" s="284"/>
      <c r="O1353" s="284"/>
      <c r="P1353" s="284"/>
      <c r="Q1353" s="284"/>
      <c r="R1353" s="284"/>
      <c r="S1353" s="284"/>
      <c r="T1353" s="284"/>
      <c r="U1353" s="284"/>
      <c r="V1353" s="284"/>
      <c r="W1353" s="284"/>
    </row>
    <row r="1354" spans="2:23" x14ac:dyDescent="0.25">
      <c r="B1354" s="286">
        <v>86</v>
      </c>
      <c r="C1354" s="286">
        <v>100</v>
      </c>
      <c r="D1354" s="286">
        <v>86</v>
      </c>
      <c r="E1354" s="286">
        <v>100</v>
      </c>
      <c r="F1354" s="286">
        <f t="shared" si="143"/>
        <v>15</v>
      </c>
      <c r="G1354" s="284">
        <v>3</v>
      </c>
      <c r="H1354" s="286"/>
      <c r="I1354" s="284"/>
      <c r="J1354" s="284"/>
      <c r="K1354" s="284"/>
      <c r="L1354" s="284"/>
      <c r="M1354" s="284"/>
      <c r="N1354" s="284"/>
      <c r="O1354" s="284"/>
      <c r="P1354" s="284"/>
      <c r="Q1354" s="284"/>
      <c r="R1354" s="284"/>
      <c r="S1354" s="284"/>
      <c r="T1354" s="284"/>
      <c r="U1354" s="284"/>
      <c r="V1354" s="284"/>
      <c r="W1354" s="284"/>
    </row>
    <row r="1355" spans="2:23" x14ac:dyDescent="0.25">
      <c r="B1355" s="286">
        <v>101</v>
      </c>
      <c r="C1355" s="286">
        <v>110</v>
      </c>
      <c r="D1355" s="286">
        <v>101</v>
      </c>
      <c r="E1355" s="286">
        <v>105</v>
      </c>
      <c r="F1355" s="286">
        <f t="shared" si="143"/>
        <v>5</v>
      </c>
      <c r="G1355" s="284">
        <v>3</v>
      </c>
      <c r="H1355" s="286"/>
      <c r="I1355" s="284"/>
      <c r="J1355" s="284"/>
      <c r="K1355" s="284"/>
      <c r="L1355" s="284"/>
      <c r="M1355" s="284"/>
      <c r="N1355" s="284"/>
      <c r="O1355" s="284"/>
      <c r="P1355" s="284"/>
      <c r="Q1355" s="284"/>
      <c r="R1355" s="284"/>
      <c r="S1355" s="284"/>
      <c r="T1355" s="284"/>
      <c r="U1355" s="284"/>
      <c r="V1355" s="284"/>
      <c r="W1355" s="284"/>
    </row>
    <row r="1356" spans="2:23" x14ac:dyDescent="0.25">
      <c r="B1356" s="286">
        <v>111</v>
      </c>
      <c r="C1356" s="286">
        <v>120</v>
      </c>
      <c r="D1356" s="286"/>
      <c r="E1356" s="286"/>
      <c r="F1356" s="286"/>
      <c r="G1356" s="284">
        <v>3</v>
      </c>
      <c r="H1356" s="286"/>
      <c r="I1356" s="284"/>
      <c r="J1356" s="284"/>
      <c r="K1356" s="284"/>
      <c r="L1356" s="284"/>
      <c r="M1356" s="284"/>
      <c r="N1356" s="284"/>
      <c r="O1356" s="284"/>
      <c r="P1356" s="284"/>
      <c r="Q1356" s="284"/>
      <c r="R1356" s="284"/>
      <c r="S1356" s="284"/>
      <c r="T1356" s="284"/>
      <c r="U1356" s="284"/>
      <c r="V1356" s="284"/>
      <c r="W1356" s="284"/>
    </row>
    <row r="1357" spans="2:23" x14ac:dyDescent="0.25">
      <c r="B1357" s="284"/>
      <c r="C1357" s="284"/>
      <c r="D1357" s="284"/>
      <c r="E1357" s="284"/>
      <c r="F1357" s="284"/>
      <c r="G1357" s="284"/>
      <c r="H1357" s="284"/>
      <c r="I1357" s="284"/>
      <c r="J1357" s="284"/>
      <c r="K1357" s="284"/>
      <c r="L1357" s="284"/>
      <c r="M1357" s="284"/>
      <c r="N1357" s="284"/>
      <c r="O1357" s="284"/>
      <c r="P1357" s="284"/>
      <c r="Q1357" s="284"/>
      <c r="R1357" s="284"/>
      <c r="S1357" s="284"/>
      <c r="T1357" s="284"/>
      <c r="U1357" s="284"/>
      <c r="V1357" s="284"/>
      <c r="W1357" s="284"/>
    </row>
    <row r="1358" spans="2:23" x14ac:dyDescent="0.25">
      <c r="B1358" s="386" t="s">
        <v>323</v>
      </c>
      <c r="C1358" s="386"/>
      <c r="D1358" s="386"/>
      <c r="E1358" s="386"/>
      <c r="F1358" s="386"/>
      <c r="G1358" s="286"/>
      <c r="H1358" s="286"/>
      <c r="I1358" s="284"/>
      <c r="J1358" s="284"/>
      <c r="K1358" s="284"/>
      <c r="L1358" s="284"/>
      <c r="M1358" s="284"/>
      <c r="N1358" s="284"/>
      <c r="O1358" s="284"/>
      <c r="P1358" s="284"/>
      <c r="Q1358" s="284"/>
      <c r="R1358" s="284"/>
      <c r="S1358" s="284"/>
      <c r="T1358" s="284"/>
      <c r="U1358" s="284"/>
      <c r="V1358" s="284"/>
      <c r="W1358" s="284"/>
    </row>
    <row r="1359" spans="2:23" x14ac:dyDescent="0.25">
      <c r="B1359" s="386" t="s">
        <v>254</v>
      </c>
      <c r="C1359" s="386"/>
      <c r="D1359" s="386" t="s">
        <v>254</v>
      </c>
      <c r="E1359" s="386"/>
      <c r="F1359" s="192" t="s">
        <v>313</v>
      </c>
      <c r="G1359" s="286" t="s">
        <v>314</v>
      </c>
      <c r="H1359" s="286" t="s">
        <v>316</v>
      </c>
      <c r="I1359" s="284"/>
      <c r="J1359" s="284"/>
      <c r="K1359" s="284"/>
      <c r="L1359" s="284"/>
      <c r="M1359" s="284"/>
      <c r="N1359" s="284"/>
      <c r="O1359" s="284"/>
      <c r="P1359" s="284"/>
      <c r="Q1359" s="284"/>
      <c r="R1359" s="284"/>
      <c r="S1359" s="284"/>
      <c r="T1359" s="284"/>
      <c r="U1359" s="284"/>
      <c r="V1359" s="284"/>
      <c r="W1359" s="284"/>
    </row>
    <row r="1360" spans="2:23" x14ac:dyDescent="0.25">
      <c r="B1360" s="286">
        <v>0</v>
      </c>
      <c r="C1360" s="286">
        <v>10</v>
      </c>
      <c r="D1360" s="286">
        <v>6</v>
      </c>
      <c r="E1360" s="286">
        <v>10</v>
      </c>
      <c r="F1360" s="286">
        <f>E1360-D1360+1</f>
        <v>5</v>
      </c>
      <c r="G1360" s="284">
        <v>1.5</v>
      </c>
      <c r="H1360" s="286">
        <f>(F1360*G1360+F1361*G1361+F1362*G1362+F1363*G1363+F1364*G1364+F1365*G1365)/100</f>
        <v>2.6549999999999998</v>
      </c>
      <c r="I1360" s="284"/>
      <c r="J1360" s="284"/>
      <c r="K1360" s="284"/>
      <c r="L1360" s="284"/>
      <c r="M1360" s="284"/>
      <c r="N1360" s="284"/>
      <c r="O1360" s="284"/>
      <c r="P1360" s="284"/>
      <c r="Q1360" s="284"/>
      <c r="R1360" s="284"/>
      <c r="S1360" s="284"/>
      <c r="T1360" s="284"/>
      <c r="U1360" s="284"/>
      <c r="V1360" s="284"/>
      <c r="W1360" s="284"/>
    </row>
    <row r="1361" spans="2:23" x14ac:dyDescent="0.25">
      <c r="B1361" s="286">
        <v>11</v>
      </c>
      <c r="C1361" s="286">
        <v>25</v>
      </c>
      <c r="D1361" s="286">
        <v>11</v>
      </c>
      <c r="E1361" s="286">
        <v>25</v>
      </c>
      <c r="F1361" s="286">
        <f t="shared" ref="F1361:F1365" si="144">E1361-D1361+1</f>
        <v>15</v>
      </c>
      <c r="G1361" s="284">
        <v>2</v>
      </c>
      <c r="H1361" s="286"/>
      <c r="I1361" s="284"/>
      <c r="J1361" s="284"/>
      <c r="K1361" s="284"/>
      <c r="L1361" s="284"/>
      <c r="M1361" s="284"/>
      <c r="N1361" s="284"/>
      <c r="O1361" s="284"/>
      <c r="P1361" s="284"/>
      <c r="Q1361" s="284"/>
      <c r="R1361" s="284"/>
      <c r="S1361" s="284"/>
      <c r="T1361" s="284"/>
      <c r="U1361" s="284"/>
      <c r="V1361" s="284"/>
      <c r="W1361" s="284"/>
    </row>
    <row r="1362" spans="2:23" x14ac:dyDescent="0.25">
      <c r="B1362" s="286">
        <v>26</v>
      </c>
      <c r="C1362" s="286">
        <v>55</v>
      </c>
      <c r="D1362" s="286">
        <v>26</v>
      </c>
      <c r="E1362" s="286">
        <v>55</v>
      </c>
      <c r="F1362" s="286">
        <f t="shared" si="144"/>
        <v>30</v>
      </c>
      <c r="G1362" s="284">
        <v>2.5</v>
      </c>
      <c r="H1362" s="286"/>
      <c r="I1362" s="284"/>
      <c r="J1362" s="284"/>
      <c r="K1362" s="284"/>
      <c r="L1362" s="284"/>
      <c r="M1362" s="284"/>
      <c r="N1362" s="284"/>
      <c r="O1362" s="284"/>
      <c r="P1362" s="284"/>
      <c r="Q1362" s="284"/>
      <c r="R1362" s="284"/>
      <c r="S1362" s="284"/>
      <c r="T1362" s="284"/>
      <c r="U1362" s="284"/>
      <c r="V1362" s="284"/>
      <c r="W1362" s="284"/>
    </row>
    <row r="1363" spans="2:23" x14ac:dyDescent="0.25">
      <c r="B1363" s="286">
        <v>56</v>
      </c>
      <c r="C1363" s="286">
        <v>85</v>
      </c>
      <c r="D1363" s="286">
        <v>56</v>
      </c>
      <c r="E1363" s="286">
        <v>85</v>
      </c>
      <c r="F1363" s="286">
        <f t="shared" si="144"/>
        <v>30</v>
      </c>
      <c r="G1363" s="284">
        <v>3</v>
      </c>
      <c r="H1363" s="286"/>
      <c r="I1363" s="284"/>
      <c r="J1363" s="284"/>
      <c r="K1363" s="284"/>
      <c r="L1363" s="284"/>
      <c r="M1363" s="284"/>
      <c r="N1363" s="284"/>
      <c r="O1363" s="284"/>
      <c r="P1363" s="284"/>
      <c r="Q1363" s="284"/>
      <c r="R1363" s="284"/>
      <c r="S1363" s="284"/>
      <c r="T1363" s="284"/>
      <c r="U1363" s="284"/>
      <c r="V1363" s="284"/>
      <c r="W1363" s="284"/>
    </row>
    <row r="1364" spans="2:23" x14ac:dyDescent="0.25">
      <c r="B1364" s="286">
        <v>86</v>
      </c>
      <c r="C1364" s="286">
        <v>100</v>
      </c>
      <c r="D1364" s="286">
        <v>86</v>
      </c>
      <c r="E1364" s="286">
        <v>100</v>
      </c>
      <c r="F1364" s="286">
        <f t="shared" si="144"/>
        <v>15</v>
      </c>
      <c r="G1364" s="284">
        <v>3</v>
      </c>
      <c r="H1364" s="286"/>
      <c r="I1364" s="284"/>
      <c r="J1364" s="284"/>
      <c r="K1364" s="284"/>
      <c r="L1364" s="284"/>
      <c r="M1364" s="284"/>
      <c r="N1364" s="284"/>
      <c r="O1364" s="284"/>
      <c r="P1364" s="284"/>
      <c r="Q1364" s="284"/>
      <c r="R1364" s="284"/>
      <c r="S1364" s="284"/>
      <c r="T1364" s="284"/>
      <c r="U1364" s="284"/>
      <c r="V1364" s="284"/>
      <c r="W1364" s="284"/>
    </row>
    <row r="1365" spans="2:23" x14ac:dyDescent="0.25">
      <c r="B1365" s="286">
        <v>101</v>
      </c>
      <c r="C1365" s="286">
        <v>110</v>
      </c>
      <c r="D1365" s="286">
        <v>101</v>
      </c>
      <c r="E1365" s="286">
        <v>106</v>
      </c>
      <c r="F1365" s="286">
        <f t="shared" si="144"/>
        <v>6</v>
      </c>
      <c r="G1365" s="284">
        <v>3</v>
      </c>
      <c r="H1365" s="286"/>
      <c r="I1365" s="284"/>
      <c r="J1365" s="284"/>
      <c r="K1365" s="284"/>
      <c r="L1365" s="284"/>
      <c r="M1365" s="284"/>
      <c r="N1365" s="284"/>
      <c r="O1365" s="284"/>
      <c r="P1365" s="284"/>
      <c r="Q1365" s="284"/>
      <c r="R1365" s="284"/>
      <c r="S1365" s="284"/>
      <c r="T1365" s="284"/>
      <c r="U1365" s="284"/>
      <c r="V1365" s="284"/>
      <c r="W1365" s="284"/>
    </row>
    <row r="1366" spans="2:23" x14ac:dyDescent="0.25">
      <c r="B1366" s="286">
        <v>111</v>
      </c>
      <c r="C1366" s="286">
        <v>120</v>
      </c>
      <c r="D1366" s="286"/>
      <c r="E1366" s="286"/>
      <c r="F1366" s="286"/>
      <c r="G1366" s="284">
        <v>3</v>
      </c>
      <c r="H1366" s="286"/>
      <c r="I1366" s="284"/>
      <c r="J1366" s="284"/>
      <c r="K1366" s="284"/>
      <c r="L1366" s="284"/>
      <c r="M1366" s="284"/>
      <c r="N1366" s="284"/>
      <c r="O1366" s="284"/>
      <c r="P1366" s="284"/>
      <c r="Q1366" s="284"/>
      <c r="R1366" s="284"/>
      <c r="S1366" s="284"/>
      <c r="T1366" s="284"/>
      <c r="U1366" s="284"/>
      <c r="V1366" s="284"/>
      <c r="W1366" s="284"/>
    </row>
    <row r="1367" spans="2:23" x14ac:dyDescent="0.25">
      <c r="B1367" s="284"/>
      <c r="C1367" s="284"/>
      <c r="D1367" s="284"/>
      <c r="E1367" s="284"/>
      <c r="F1367" s="284"/>
      <c r="G1367" s="284"/>
      <c r="H1367" s="284"/>
      <c r="I1367" s="284"/>
      <c r="J1367" s="284"/>
      <c r="K1367" s="284"/>
      <c r="L1367" s="284"/>
      <c r="M1367" s="284"/>
      <c r="N1367" s="284"/>
      <c r="O1367" s="284"/>
      <c r="P1367" s="284"/>
      <c r="Q1367" s="284"/>
      <c r="R1367" s="284"/>
      <c r="S1367" s="284"/>
      <c r="T1367" s="284"/>
      <c r="U1367" s="284"/>
      <c r="V1367" s="284"/>
      <c r="W1367" s="284"/>
    </row>
    <row r="1368" spans="2:23" x14ac:dyDescent="0.25">
      <c r="B1368" s="386" t="s">
        <v>324</v>
      </c>
      <c r="C1368" s="386"/>
      <c r="D1368" s="386"/>
      <c r="E1368" s="386"/>
      <c r="F1368" s="386"/>
      <c r="G1368" s="286"/>
      <c r="H1368" s="286"/>
      <c r="I1368" s="284"/>
      <c r="J1368" s="284"/>
      <c r="K1368" s="284"/>
      <c r="L1368" s="284"/>
      <c r="M1368" s="284"/>
      <c r="N1368" s="284"/>
      <c r="O1368" s="284"/>
      <c r="P1368" s="284"/>
      <c r="Q1368" s="284"/>
      <c r="R1368" s="284"/>
      <c r="S1368" s="284"/>
      <c r="T1368" s="284"/>
      <c r="U1368" s="284"/>
      <c r="V1368" s="284"/>
      <c r="W1368" s="284"/>
    </row>
    <row r="1369" spans="2:23" x14ac:dyDescent="0.25">
      <c r="B1369" s="386" t="s">
        <v>254</v>
      </c>
      <c r="C1369" s="386"/>
      <c r="D1369" s="386" t="s">
        <v>254</v>
      </c>
      <c r="E1369" s="386"/>
      <c r="F1369" s="192" t="s">
        <v>313</v>
      </c>
      <c r="G1369" s="286" t="s">
        <v>314</v>
      </c>
      <c r="H1369" s="286" t="s">
        <v>316</v>
      </c>
      <c r="I1369" s="284"/>
      <c r="J1369" s="284"/>
      <c r="K1369" s="284"/>
      <c r="L1369" s="284"/>
      <c r="M1369" s="284"/>
      <c r="N1369" s="284"/>
      <c r="O1369" s="284"/>
      <c r="P1369" s="284"/>
      <c r="Q1369" s="284"/>
      <c r="R1369" s="284"/>
      <c r="S1369" s="284"/>
      <c r="T1369" s="284"/>
      <c r="U1369" s="284"/>
      <c r="V1369" s="284"/>
      <c r="W1369" s="284"/>
    </row>
    <row r="1370" spans="2:23" x14ac:dyDescent="0.25">
      <c r="B1370" s="286">
        <v>0</v>
      </c>
      <c r="C1370" s="286">
        <v>10</v>
      </c>
      <c r="D1370" s="286">
        <v>7</v>
      </c>
      <c r="E1370" s="286">
        <v>10</v>
      </c>
      <c r="F1370" s="286">
        <f>E1370-D1370+1</f>
        <v>4</v>
      </c>
      <c r="G1370" s="284">
        <v>1.5</v>
      </c>
      <c r="H1370" s="286">
        <f>(F1370*G1370+F1371*G1371+F1372*G1372+F1373*G1373+F1374*G1374+F1375*G1375)/100</f>
        <v>2.67</v>
      </c>
      <c r="I1370" s="284"/>
      <c r="J1370" s="284"/>
      <c r="K1370" s="284"/>
      <c r="L1370" s="284"/>
      <c r="M1370" s="284"/>
      <c r="N1370" s="284"/>
      <c r="O1370" s="284"/>
      <c r="P1370" s="284"/>
      <c r="Q1370" s="284"/>
      <c r="R1370" s="284"/>
      <c r="S1370" s="284"/>
      <c r="T1370" s="284"/>
      <c r="U1370" s="284"/>
      <c r="V1370" s="284"/>
      <c r="W1370" s="284"/>
    </row>
    <row r="1371" spans="2:23" x14ac:dyDescent="0.25">
      <c r="B1371" s="286">
        <v>11</v>
      </c>
      <c r="C1371" s="286">
        <v>25</v>
      </c>
      <c r="D1371" s="286">
        <v>11</v>
      </c>
      <c r="E1371" s="286">
        <v>25</v>
      </c>
      <c r="F1371" s="286">
        <f t="shared" ref="F1371:F1375" si="145">E1371-D1371+1</f>
        <v>15</v>
      </c>
      <c r="G1371" s="284">
        <v>2</v>
      </c>
      <c r="H1371" s="286"/>
      <c r="I1371" s="284"/>
      <c r="J1371" s="284"/>
      <c r="K1371" s="284"/>
      <c r="L1371" s="284"/>
      <c r="M1371" s="284"/>
      <c r="N1371" s="284"/>
      <c r="O1371" s="284"/>
      <c r="P1371" s="284"/>
      <c r="Q1371" s="284"/>
      <c r="R1371" s="284"/>
      <c r="S1371" s="284"/>
      <c r="T1371" s="284"/>
      <c r="U1371" s="284"/>
      <c r="V1371" s="284"/>
      <c r="W1371" s="284"/>
    </row>
    <row r="1372" spans="2:23" x14ac:dyDescent="0.25">
      <c r="B1372" s="286">
        <v>26</v>
      </c>
      <c r="C1372" s="286">
        <v>55</v>
      </c>
      <c r="D1372" s="286">
        <v>26</v>
      </c>
      <c r="E1372" s="286">
        <v>55</v>
      </c>
      <c r="F1372" s="286">
        <f t="shared" si="145"/>
        <v>30</v>
      </c>
      <c r="G1372" s="284">
        <v>2.5</v>
      </c>
      <c r="H1372" s="286"/>
      <c r="I1372" s="284"/>
      <c r="J1372" s="284"/>
      <c r="K1372" s="284"/>
      <c r="L1372" s="284"/>
      <c r="M1372" s="284"/>
      <c r="N1372" s="284"/>
      <c r="O1372" s="284"/>
      <c r="P1372" s="284"/>
      <c r="Q1372" s="284"/>
      <c r="R1372" s="284"/>
      <c r="S1372" s="284"/>
      <c r="T1372" s="284"/>
      <c r="U1372" s="284"/>
      <c r="V1372" s="284"/>
      <c r="W1372" s="284"/>
    </row>
    <row r="1373" spans="2:23" x14ac:dyDescent="0.25">
      <c r="B1373" s="286">
        <v>56</v>
      </c>
      <c r="C1373" s="286">
        <v>85</v>
      </c>
      <c r="D1373" s="286">
        <v>56</v>
      </c>
      <c r="E1373" s="286">
        <v>85</v>
      </c>
      <c r="F1373" s="286">
        <f t="shared" si="145"/>
        <v>30</v>
      </c>
      <c r="G1373" s="284">
        <v>3</v>
      </c>
      <c r="H1373" s="286"/>
      <c r="I1373" s="284"/>
      <c r="J1373" s="284"/>
      <c r="K1373" s="284"/>
      <c r="L1373" s="284"/>
      <c r="M1373" s="284"/>
      <c r="N1373" s="284"/>
      <c r="O1373" s="284"/>
      <c r="P1373" s="284"/>
      <c r="Q1373" s="284"/>
      <c r="R1373" s="284"/>
      <c r="S1373" s="284"/>
      <c r="T1373" s="284"/>
      <c r="U1373" s="284"/>
      <c r="V1373" s="284"/>
      <c r="W1373" s="284"/>
    </row>
    <row r="1374" spans="2:23" x14ac:dyDescent="0.25">
      <c r="B1374" s="286">
        <v>86</v>
      </c>
      <c r="C1374" s="286">
        <v>100</v>
      </c>
      <c r="D1374" s="286">
        <v>86</v>
      </c>
      <c r="E1374" s="286">
        <v>100</v>
      </c>
      <c r="F1374" s="286">
        <f t="shared" si="145"/>
        <v>15</v>
      </c>
      <c r="G1374" s="284">
        <v>3</v>
      </c>
      <c r="H1374" s="286"/>
      <c r="I1374" s="284"/>
      <c r="J1374" s="284"/>
      <c r="K1374" s="284"/>
      <c r="L1374" s="284"/>
      <c r="M1374" s="284"/>
      <c r="N1374" s="284"/>
      <c r="O1374" s="284"/>
      <c r="P1374" s="284"/>
      <c r="Q1374" s="284"/>
      <c r="R1374" s="284"/>
      <c r="S1374" s="284"/>
      <c r="T1374" s="284"/>
      <c r="U1374" s="284"/>
      <c r="V1374" s="284"/>
      <c r="W1374" s="284"/>
    </row>
    <row r="1375" spans="2:23" x14ac:dyDescent="0.25">
      <c r="B1375" s="286">
        <v>101</v>
      </c>
      <c r="C1375" s="286">
        <v>110</v>
      </c>
      <c r="D1375" s="286">
        <v>101</v>
      </c>
      <c r="E1375" s="286">
        <v>107</v>
      </c>
      <c r="F1375" s="286">
        <f t="shared" si="145"/>
        <v>7</v>
      </c>
      <c r="G1375" s="284">
        <v>3</v>
      </c>
      <c r="H1375" s="286"/>
      <c r="I1375" s="284"/>
      <c r="J1375" s="284"/>
      <c r="K1375" s="284"/>
      <c r="L1375" s="284"/>
      <c r="M1375" s="284"/>
      <c r="N1375" s="284"/>
      <c r="O1375" s="284"/>
      <c r="P1375" s="284"/>
      <c r="Q1375" s="284"/>
      <c r="R1375" s="284"/>
      <c r="S1375" s="284"/>
      <c r="T1375" s="284"/>
      <c r="U1375" s="284"/>
      <c r="V1375" s="284"/>
      <c r="W1375" s="284"/>
    </row>
    <row r="1376" spans="2:23" x14ac:dyDescent="0.25">
      <c r="B1376" s="286">
        <v>111</v>
      </c>
      <c r="C1376" s="286">
        <v>120</v>
      </c>
      <c r="D1376" s="286"/>
      <c r="E1376" s="286"/>
      <c r="F1376" s="286"/>
      <c r="G1376" s="284">
        <v>3</v>
      </c>
      <c r="H1376" s="286"/>
      <c r="I1376" s="284"/>
      <c r="J1376" s="284"/>
      <c r="K1376" s="284"/>
      <c r="L1376" s="284"/>
      <c r="M1376" s="284"/>
      <c r="N1376" s="284"/>
      <c r="O1376" s="284"/>
      <c r="P1376" s="284"/>
      <c r="Q1376" s="284"/>
      <c r="R1376" s="284"/>
      <c r="S1376" s="284"/>
      <c r="T1376" s="284"/>
      <c r="U1376" s="284"/>
      <c r="V1376" s="284"/>
      <c r="W1376" s="284"/>
    </row>
    <row r="1377" spans="2:23" x14ac:dyDescent="0.25">
      <c r="B1377" s="284"/>
      <c r="C1377" s="284"/>
      <c r="D1377" s="284"/>
      <c r="E1377" s="284"/>
      <c r="F1377" s="284"/>
      <c r="G1377" s="284"/>
      <c r="H1377" s="284"/>
      <c r="I1377" s="284"/>
      <c r="J1377" s="284"/>
      <c r="K1377" s="284"/>
      <c r="L1377" s="284"/>
      <c r="M1377" s="284"/>
      <c r="N1377" s="284"/>
      <c r="O1377" s="284"/>
      <c r="P1377" s="284"/>
      <c r="Q1377" s="284"/>
      <c r="R1377" s="284"/>
      <c r="S1377" s="284"/>
      <c r="T1377" s="284"/>
      <c r="U1377" s="284"/>
      <c r="V1377" s="284"/>
      <c r="W1377" s="284"/>
    </row>
    <row r="1378" spans="2:23" x14ac:dyDescent="0.25">
      <c r="B1378" s="386" t="s">
        <v>325</v>
      </c>
      <c r="C1378" s="386"/>
      <c r="D1378" s="386"/>
      <c r="E1378" s="386"/>
      <c r="F1378" s="386"/>
      <c r="G1378" s="286"/>
      <c r="H1378" s="286"/>
      <c r="I1378" s="284"/>
      <c r="J1378" s="284"/>
      <c r="K1378" s="284"/>
      <c r="L1378" s="284"/>
      <c r="M1378" s="284"/>
      <c r="N1378" s="284"/>
      <c r="O1378" s="284"/>
      <c r="P1378" s="284"/>
      <c r="Q1378" s="284"/>
      <c r="R1378" s="284"/>
      <c r="S1378" s="284"/>
      <c r="T1378" s="284"/>
      <c r="U1378" s="284"/>
      <c r="V1378" s="284"/>
      <c r="W1378" s="284"/>
    </row>
    <row r="1379" spans="2:23" x14ac:dyDescent="0.25">
      <c r="B1379" s="386" t="s">
        <v>254</v>
      </c>
      <c r="C1379" s="386"/>
      <c r="D1379" s="386" t="s">
        <v>254</v>
      </c>
      <c r="E1379" s="386"/>
      <c r="F1379" s="192" t="s">
        <v>313</v>
      </c>
      <c r="G1379" s="286" t="s">
        <v>314</v>
      </c>
      <c r="H1379" s="286" t="s">
        <v>316</v>
      </c>
      <c r="I1379" s="284"/>
      <c r="J1379" s="284"/>
      <c r="K1379" s="284"/>
      <c r="L1379" s="284"/>
      <c r="M1379" s="284"/>
      <c r="N1379" s="284"/>
      <c r="O1379" s="284"/>
      <c r="P1379" s="284"/>
      <c r="Q1379" s="284"/>
      <c r="R1379" s="284"/>
      <c r="S1379" s="284"/>
      <c r="T1379" s="284"/>
      <c r="U1379" s="284"/>
      <c r="V1379" s="284"/>
      <c r="W1379" s="284"/>
    </row>
    <row r="1380" spans="2:23" x14ac:dyDescent="0.25">
      <c r="B1380" s="286">
        <v>0</v>
      </c>
      <c r="C1380" s="286">
        <v>10</v>
      </c>
      <c r="D1380" s="286">
        <v>8</v>
      </c>
      <c r="E1380" s="286">
        <v>10</v>
      </c>
      <c r="F1380" s="286">
        <f>E1380-D1380+1</f>
        <v>3</v>
      </c>
      <c r="G1380" s="284">
        <v>1.5</v>
      </c>
      <c r="H1380" s="286">
        <f>(F1380*G1380+F1381*G1381+F1382*G1382+F1383*G1383+F1384*G1384+F1385*G1385)/100</f>
        <v>2.6850000000000001</v>
      </c>
      <c r="I1380" s="284"/>
      <c r="J1380" s="284"/>
      <c r="K1380" s="284"/>
      <c r="L1380" s="284"/>
      <c r="M1380" s="284"/>
      <c r="N1380" s="284"/>
      <c r="O1380" s="284"/>
      <c r="P1380" s="284"/>
      <c r="Q1380" s="284"/>
      <c r="R1380" s="284"/>
      <c r="S1380" s="284"/>
      <c r="T1380" s="284"/>
      <c r="U1380" s="284"/>
      <c r="V1380" s="284"/>
      <c r="W1380" s="284"/>
    </row>
    <row r="1381" spans="2:23" x14ac:dyDescent="0.25">
      <c r="B1381" s="286">
        <v>11</v>
      </c>
      <c r="C1381" s="286">
        <v>25</v>
      </c>
      <c r="D1381" s="286">
        <v>11</v>
      </c>
      <c r="E1381" s="286">
        <v>25</v>
      </c>
      <c r="F1381" s="286">
        <f t="shared" ref="F1381:F1385" si="146">E1381-D1381+1</f>
        <v>15</v>
      </c>
      <c r="G1381" s="284">
        <v>2</v>
      </c>
      <c r="H1381" s="286"/>
      <c r="I1381" s="284"/>
      <c r="J1381" s="284"/>
      <c r="K1381" s="284"/>
      <c r="L1381" s="284"/>
      <c r="M1381" s="284"/>
      <c r="N1381" s="284"/>
      <c r="O1381" s="284"/>
      <c r="P1381" s="284"/>
      <c r="Q1381" s="284"/>
      <c r="R1381" s="284"/>
      <c r="S1381" s="284"/>
      <c r="T1381" s="284"/>
      <c r="U1381" s="284"/>
      <c r="V1381" s="284"/>
      <c r="W1381" s="284"/>
    </row>
    <row r="1382" spans="2:23" x14ac:dyDescent="0.25">
      <c r="B1382" s="286">
        <v>26</v>
      </c>
      <c r="C1382" s="286">
        <v>55</v>
      </c>
      <c r="D1382" s="286">
        <v>26</v>
      </c>
      <c r="E1382" s="286">
        <v>55</v>
      </c>
      <c r="F1382" s="286">
        <f t="shared" si="146"/>
        <v>30</v>
      </c>
      <c r="G1382" s="284">
        <v>2.5</v>
      </c>
      <c r="H1382" s="286"/>
      <c r="I1382" s="284"/>
      <c r="J1382" s="284"/>
      <c r="K1382" s="284"/>
      <c r="L1382" s="284"/>
      <c r="M1382" s="284"/>
      <c r="N1382" s="284"/>
      <c r="O1382" s="284"/>
      <c r="P1382" s="284"/>
      <c r="Q1382" s="284"/>
      <c r="R1382" s="284"/>
      <c r="S1382" s="284"/>
      <c r="T1382" s="284"/>
      <c r="U1382" s="284"/>
      <c r="V1382" s="284"/>
      <c r="W1382" s="284"/>
    </row>
    <row r="1383" spans="2:23" x14ac:dyDescent="0.25">
      <c r="B1383" s="286">
        <v>56</v>
      </c>
      <c r="C1383" s="286">
        <v>85</v>
      </c>
      <c r="D1383" s="286">
        <v>56</v>
      </c>
      <c r="E1383" s="286">
        <v>85</v>
      </c>
      <c r="F1383" s="286">
        <f t="shared" si="146"/>
        <v>30</v>
      </c>
      <c r="G1383" s="284">
        <v>3</v>
      </c>
      <c r="H1383" s="286"/>
      <c r="I1383" s="284"/>
      <c r="J1383" s="284"/>
      <c r="K1383" s="284"/>
      <c r="L1383" s="284"/>
      <c r="M1383" s="284"/>
      <c r="N1383" s="284"/>
      <c r="O1383" s="284"/>
      <c r="P1383" s="284"/>
      <c r="Q1383" s="284"/>
      <c r="R1383" s="284"/>
      <c r="S1383" s="284"/>
      <c r="T1383" s="284"/>
      <c r="U1383" s="284"/>
      <c r="V1383" s="284"/>
      <c r="W1383" s="284"/>
    </row>
    <row r="1384" spans="2:23" x14ac:dyDescent="0.25">
      <c r="B1384" s="286">
        <v>86</v>
      </c>
      <c r="C1384" s="286">
        <v>100</v>
      </c>
      <c r="D1384" s="286">
        <v>86</v>
      </c>
      <c r="E1384" s="286">
        <v>100</v>
      </c>
      <c r="F1384" s="286">
        <f t="shared" si="146"/>
        <v>15</v>
      </c>
      <c r="G1384" s="284">
        <v>3</v>
      </c>
      <c r="H1384" s="286"/>
      <c r="I1384" s="284"/>
      <c r="J1384" s="284"/>
      <c r="K1384" s="284"/>
      <c r="L1384" s="284"/>
      <c r="M1384" s="284"/>
      <c r="N1384" s="284"/>
      <c r="O1384" s="284"/>
      <c r="P1384" s="284"/>
      <c r="Q1384" s="284"/>
      <c r="R1384" s="284"/>
      <c r="S1384" s="284"/>
      <c r="T1384" s="284"/>
      <c r="U1384" s="284"/>
      <c r="V1384" s="284"/>
      <c r="W1384" s="284"/>
    </row>
    <row r="1385" spans="2:23" x14ac:dyDescent="0.25">
      <c r="B1385" s="286">
        <v>101</v>
      </c>
      <c r="C1385" s="286">
        <v>110</v>
      </c>
      <c r="D1385" s="286">
        <v>101</v>
      </c>
      <c r="E1385" s="286">
        <v>108</v>
      </c>
      <c r="F1385" s="286">
        <f t="shared" si="146"/>
        <v>8</v>
      </c>
      <c r="G1385" s="284">
        <v>3</v>
      </c>
      <c r="H1385" s="286"/>
      <c r="I1385" s="284"/>
      <c r="J1385" s="284"/>
      <c r="K1385" s="284"/>
      <c r="L1385" s="284"/>
      <c r="M1385" s="284"/>
      <c r="N1385" s="284"/>
      <c r="O1385" s="284"/>
      <c r="P1385" s="284"/>
      <c r="Q1385" s="284"/>
      <c r="R1385" s="284"/>
      <c r="S1385" s="284"/>
      <c r="T1385" s="284"/>
      <c r="U1385" s="284"/>
      <c r="V1385" s="284"/>
      <c r="W1385" s="284"/>
    </row>
    <row r="1386" spans="2:23" x14ac:dyDescent="0.25">
      <c r="B1386" s="286">
        <v>111</v>
      </c>
      <c r="C1386" s="286">
        <v>120</v>
      </c>
      <c r="D1386" s="286"/>
      <c r="E1386" s="286"/>
      <c r="F1386" s="286"/>
      <c r="G1386" s="284">
        <v>3</v>
      </c>
      <c r="H1386" s="286"/>
      <c r="I1386" s="284"/>
      <c r="J1386" s="284"/>
      <c r="K1386" s="284"/>
      <c r="L1386" s="284"/>
      <c r="M1386" s="284"/>
      <c r="N1386" s="284"/>
      <c r="O1386" s="284"/>
      <c r="P1386" s="284"/>
      <c r="Q1386" s="284"/>
      <c r="R1386" s="284"/>
      <c r="S1386" s="284"/>
      <c r="T1386" s="284"/>
      <c r="U1386" s="284"/>
      <c r="V1386" s="284"/>
      <c r="W1386" s="284"/>
    </row>
    <row r="1387" spans="2:23" x14ac:dyDescent="0.25">
      <c r="B1387" s="284"/>
      <c r="C1387" s="284"/>
      <c r="D1387" s="284"/>
      <c r="E1387" s="284"/>
      <c r="F1387" s="284"/>
      <c r="G1387" s="284"/>
      <c r="H1387" s="284"/>
      <c r="I1387" s="284"/>
      <c r="J1387" s="284"/>
      <c r="K1387" s="284"/>
      <c r="L1387" s="284"/>
      <c r="M1387" s="284"/>
      <c r="N1387" s="284"/>
      <c r="O1387" s="284"/>
      <c r="P1387" s="284"/>
      <c r="Q1387" s="284"/>
      <c r="R1387" s="284"/>
      <c r="S1387" s="284"/>
      <c r="T1387" s="284"/>
      <c r="U1387" s="284"/>
      <c r="V1387" s="284"/>
      <c r="W1387" s="284"/>
    </row>
    <row r="1388" spans="2:23" x14ac:dyDescent="0.25">
      <c r="B1388" s="386" t="s">
        <v>326</v>
      </c>
      <c r="C1388" s="386"/>
      <c r="D1388" s="386"/>
      <c r="E1388" s="386"/>
      <c r="F1388" s="386"/>
      <c r="G1388" s="286"/>
      <c r="H1388" s="286"/>
      <c r="I1388" s="284"/>
      <c r="J1388" s="284"/>
      <c r="K1388" s="284"/>
      <c r="L1388" s="284"/>
      <c r="M1388" s="284"/>
      <c r="N1388" s="284"/>
      <c r="O1388" s="284"/>
      <c r="P1388" s="284"/>
      <c r="Q1388" s="284"/>
      <c r="R1388" s="284"/>
      <c r="S1388" s="284"/>
      <c r="T1388" s="284"/>
      <c r="U1388" s="284"/>
      <c r="V1388" s="284"/>
      <c r="W1388" s="284"/>
    </row>
    <row r="1389" spans="2:23" x14ac:dyDescent="0.25">
      <c r="B1389" s="386" t="s">
        <v>254</v>
      </c>
      <c r="C1389" s="386"/>
      <c r="D1389" s="386" t="s">
        <v>254</v>
      </c>
      <c r="E1389" s="386"/>
      <c r="F1389" s="192" t="s">
        <v>313</v>
      </c>
      <c r="G1389" s="286" t="s">
        <v>314</v>
      </c>
      <c r="H1389" s="286" t="s">
        <v>316</v>
      </c>
      <c r="I1389" s="284"/>
      <c r="J1389" s="284"/>
      <c r="K1389" s="284"/>
      <c r="L1389" s="284"/>
      <c r="M1389" s="284"/>
      <c r="N1389" s="284"/>
      <c r="O1389" s="284"/>
      <c r="P1389" s="284"/>
      <c r="Q1389" s="284"/>
      <c r="R1389" s="284"/>
      <c r="S1389" s="284"/>
      <c r="T1389" s="284"/>
      <c r="U1389" s="284"/>
      <c r="V1389" s="284"/>
      <c r="W1389" s="284"/>
    </row>
    <row r="1390" spans="2:23" x14ac:dyDescent="0.25">
      <c r="B1390" s="286">
        <v>0</v>
      </c>
      <c r="C1390" s="286">
        <v>10</v>
      </c>
      <c r="D1390" s="286">
        <v>9</v>
      </c>
      <c r="E1390" s="286">
        <v>10</v>
      </c>
      <c r="F1390" s="286">
        <f>E1390-D1390+1</f>
        <v>2</v>
      </c>
      <c r="G1390" s="284">
        <v>1.5</v>
      </c>
      <c r="H1390" s="286">
        <f>(F1390*G1390+F1391*G1391+F1392*G1392+F1393*G1393+F1394*G1394+F1395*G1395)/100</f>
        <v>2.7</v>
      </c>
      <c r="I1390" s="284"/>
      <c r="J1390" s="284"/>
      <c r="K1390" s="284"/>
      <c r="L1390" s="284"/>
      <c r="M1390" s="284"/>
      <c r="N1390" s="284"/>
      <c r="O1390" s="284"/>
      <c r="P1390" s="284"/>
      <c r="Q1390" s="284"/>
      <c r="R1390" s="284"/>
      <c r="S1390" s="284"/>
      <c r="T1390" s="284"/>
      <c r="U1390" s="284"/>
      <c r="V1390" s="284"/>
      <c r="W1390" s="284"/>
    </row>
    <row r="1391" spans="2:23" x14ac:dyDescent="0.25">
      <c r="B1391" s="286">
        <v>11</v>
      </c>
      <c r="C1391" s="286">
        <v>25</v>
      </c>
      <c r="D1391" s="286">
        <v>11</v>
      </c>
      <c r="E1391" s="286">
        <v>25</v>
      </c>
      <c r="F1391" s="286">
        <f t="shared" ref="F1391:F1395" si="147">E1391-D1391+1</f>
        <v>15</v>
      </c>
      <c r="G1391" s="284">
        <v>2</v>
      </c>
      <c r="H1391" s="286"/>
      <c r="I1391" s="284"/>
      <c r="J1391" s="284"/>
      <c r="K1391" s="284"/>
      <c r="L1391" s="284"/>
      <c r="M1391" s="284"/>
      <c r="N1391" s="284"/>
      <c r="O1391" s="284"/>
      <c r="P1391" s="284"/>
      <c r="Q1391" s="284"/>
      <c r="R1391" s="284"/>
      <c r="S1391" s="284"/>
      <c r="T1391" s="284"/>
      <c r="U1391" s="284"/>
      <c r="V1391" s="284"/>
      <c r="W1391" s="284"/>
    </row>
    <row r="1392" spans="2:23" x14ac:dyDescent="0.25">
      <c r="B1392" s="286">
        <v>26</v>
      </c>
      <c r="C1392" s="286">
        <v>55</v>
      </c>
      <c r="D1392" s="286">
        <v>26</v>
      </c>
      <c r="E1392" s="286">
        <v>55</v>
      </c>
      <c r="F1392" s="286">
        <f t="shared" si="147"/>
        <v>30</v>
      </c>
      <c r="G1392" s="284">
        <v>2.5</v>
      </c>
      <c r="H1392" s="286"/>
      <c r="I1392" s="284"/>
      <c r="J1392" s="284"/>
      <c r="K1392" s="284"/>
      <c r="L1392" s="284"/>
      <c r="M1392" s="284"/>
      <c r="N1392" s="284"/>
      <c r="O1392" s="284"/>
      <c r="P1392" s="284"/>
      <c r="Q1392" s="284"/>
      <c r="R1392" s="284"/>
      <c r="S1392" s="284"/>
      <c r="T1392" s="284"/>
      <c r="U1392" s="284"/>
      <c r="V1392" s="284"/>
      <c r="W1392" s="284"/>
    </row>
    <row r="1393" spans="2:23" x14ac:dyDescent="0.25">
      <c r="B1393" s="286">
        <v>56</v>
      </c>
      <c r="C1393" s="286">
        <v>85</v>
      </c>
      <c r="D1393" s="286">
        <v>56</v>
      </c>
      <c r="E1393" s="286">
        <v>85</v>
      </c>
      <c r="F1393" s="286">
        <f t="shared" si="147"/>
        <v>30</v>
      </c>
      <c r="G1393" s="284">
        <v>3</v>
      </c>
      <c r="H1393" s="286"/>
      <c r="I1393" s="284"/>
      <c r="J1393" s="284"/>
      <c r="K1393" s="284"/>
      <c r="L1393" s="284"/>
      <c r="M1393" s="284"/>
      <c r="N1393" s="284"/>
      <c r="O1393" s="284"/>
      <c r="P1393" s="284"/>
      <c r="Q1393" s="284"/>
      <c r="R1393" s="284"/>
      <c r="S1393" s="284"/>
      <c r="T1393" s="284"/>
      <c r="U1393" s="284"/>
      <c r="V1393" s="284"/>
      <c r="W1393" s="284"/>
    </row>
    <row r="1394" spans="2:23" x14ac:dyDescent="0.25">
      <c r="B1394" s="286">
        <v>86</v>
      </c>
      <c r="C1394" s="286">
        <v>100</v>
      </c>
      <c r="D1394" s="286">
        <v>86</v>
      </c>
      <c r="E1394" s="286">
        <v>100</v>
      </c>
      <c r="F1394" s="286">
        <f t="shared" si="147"/>
        <v>15</v>
      </c>
      <c r="G1394" s="284">
        <v>3</v>
      </c>
      <c r="H1394" s="286"/>
      <c r="I1394" s="284"/>
      <c r="J1394" s="284"/>
      <c r="K1394" s="284"/>
      <c r="L1394" s="284"/>
      <c r="M1394" s="284"/>
      <c r="N1394" s="284"/>
      <c r="O1394" s="284"/>
      <c r="P1394" s="284"/>
      <c r="Q1394" s="284"/>
      <c r="R1394" s="284"/>
      <c r="S1394" s="284"/>
      <c r="T1394" s="284"/>
      <c r="U1394" s="284"/>
      <c r="V1394" s="284"/>
      <c r="W1394" s="284"/>
    </row>
    <row r="1395" spans="2:23" x14ac:dyDescent="0.25">
      <c r="B1395" s="286">
        <v>101</v>
      </c>
      <c r="C1395" s="286">
        <v>110</v>
      </c>
      <c r="D1395" s="286">
        <v>101</v>
      </c>
      <c r="E1395" s="286">
        <v>109</v>
      </c>
      <c r="F1395" s="286">
        <f t="shared" si="147"/>
        <v>9</v>
      </c>
      <c r="G1395" s="284">
        <v>3</v>
      </c>
      <c r="H1395" s="286"/>
      <c r="I1395" s="284"/>
      <c r="J1395" s="284"/>
      <c r="K1395" s="284"/>
      <c r="L1395" s="284"/>
      <c r="M1395" s="284"/>
      <c r="N1395" s="284"/>
      <c r="O1395" s="284"/>
      <c r="P1395" s="284"/>
      <c r="Q1395" s="284"/>
      <c r="R1395" s="284"/>
      <c r="S1395" s="284"/>
      <c r="T1395" s="284"/>
      <c r="U1395" s="284"/>
      <c r="V1395" s="284"/>
      <c r="W1395" s="284"/>
    </row>
    <row r="1396" spans="2:23" x14ac:dyDescent="0.25">
      <c r="B1396" s="286">
        <v>111</v>
      </c>
      <c r="C1396" s="286">
        <v>120</v>
      </c>
      <c r="D1396" s="286"/>
      <c r="E1396" s="286"/>
      <c r="F1396" s="286"/>
      <c r="G1396" s="284">
        <v>3</v>
      </c>
      <c r="H1396" s="286"/>
      <c r="I1396" s="284"/>
      <c r="J1396" s="284"/>
      <c r="K1396" s="284"/>
      <c r="L1396" s="284"/>
      <c r="M1396" s="284"/>
      <c r="N1396" s="284"/>
      <c r="O1396" s="284"/>
      <c r="P1396" s="284"/>
      <c r="Q1396" s="284"/>
      <c r="R1396" s="284"/>
      <c r="S1396" s="284"/>
      <c r="T1396" s="284"/>
      <c r="U1396" s="284"/>
      <c r="V1396" s="284"/>
      <c r="W1396" s="284"/>
    </row>
    <row r="1397" spans="2:23" x14ac:dyDescent="0.25">
      <c r="B1397" s="284"/>
      <c r="C1397" s="284"/>
      <c r="D1397" s="284"/>
      <c r="E1397" s="284"/>
      <c r="F1397" s="284"/>
      <c r="G1397" s="284"/>
      <c r="H1397" s="284"/>
      <c r="I1397" s="284"/>
      <c r="J1397" s="284"/>
      <c r="K1397" s="284"/>
      <c r="L1397" s="284"/>
      <c r="M1397" s="284"/>
      <c r="N1397" s="284"/>
      <c r="O1397" s="284"/>
      <c r="P1397" s="284"/>
      <c r="Q1397" s="284"/>
      <c r="R1397" s="284"/>
      <c r="S1397" s="284"/>
      <c r="T1397" s="284"/>
      <c r="U1397" s="284"/>
      <c r="V1397" s="284"/>
      <c r="W1397" s="284"/>
    </row>
    <row r="1398" spans="2:23" x14ac:dyDescent="0.25">
      <c r="B1398" s="386" t="s">
        <v>327</v>
      </c>
      <c r="C1398" s="386"/>
      <c r="D1398" s="386"/>
      <c r="E1398" s="386"/>
      <c r="F1398" s="386"/>
      <c r="G1398" s="286"/>
      <c r="H1398" s="286"/>
      <c r="I1398" s="284"/>
      <c r="J1398" s="284"/>
      <c r="K1398" s="284"/>
      <c r="L1398" s="284"/>
      <c r="M1398" s="284"/>
      <c r="N1398" s="284"/>
      <c r="O1398" s="284"/>
      <c r="P1398" s="284"/>
      <c r="Q1398" s="284"/>
      <c r="R1398" s="284"/>
      <c r="S1398" s="284"/>
      <c r="T1398" s="284"/>
      <c r="U1398" s="284"/>
      <c r="V1398" s="284"/>
      <c r="W1398" s="284"/>
    </row>
    <row r="1399" spans="2:23" x14ac:dyDescent="0.25">
      <c r="B1399" s="386" t="s">
        <v>254</v>
      </c>
      <c r="C1399" s="386"/>
      <c r="D1399" s="386" t="s">
        <v>254</v>
      </c>
      <c r="E1399" s="386"/>
      <c r="F1399" s="192" t="s">
        <v>313</v>
      </c>
      <c r="G1399" s="286" t="s">
        <v>314</v>
      </c>
      <c r="H1399" s="286" t="s">
        <v>316</v>
      </c>
      <c r="I1399" s="284"/>
      <c r="J1399" s="284"/>
      <c r="K1399" s="284"/>
      <c r="L1399" s="284"/>
      <c r="M1399" s="284"/>
      <c r="N1399" s="284"/>
      <c r="O1399" s="284"/>
      <c r="P1399" s="284"/>
      <c r="Q1399" s="284"/>
      <c r="R1399" s="284"/>
      <c r="S1399" s="284"/>
      <c r="T1399" s="284"/>
      <c r="U1399" s="284"/>
      <c r="V1399" s="284"/>
      <c r="W1399" s="284"/>
    </row>
    <row r="1400" spans="2:23" x14ac:dyDescent="0.25">
      <c r="B1400" s="286">
        <v>0</v>
      </c>
      <c r="C1400" s="286">
        <v>10</v>
      </c>
      <c r="D1400" s="286">
        <v>10</v>
      </c>
      <c r="E1400" s="286">
        <v>10</v>
      </c>
      <c r="F1400" s="286">
        <f>E1400-D1400+1</f>
        <v>1</v>
      </c>
      <c r="G1400" s="284">
        <v>1.5</v>
      </c>
      <c r="H1400" s="286">
        <f>(F1400*G1400+F1401*G1401+F1402*G1402+F1403*G1403+F1404*G1404+F1405*G1405)/100</f>
        <v>2.7149999999999999</v>
      </c>
      <c r="I1400" s="284"/>
      <c r="J1400" s="284"/>
      <c r="K1400" s="284"/>
      <c r="L1400" s="284"/>
      <c r="M1400" s="284"/>
      <c r="N1400" s="284"/>
      <c r="O1400" s="284"/>
      <c r="P1400" s="284"/>
      <c r="Q1400" s="284"/>
      <c r="R1400" s="284"/>
      <c r="S1400" s="284"/>
      <c r="T1400" s="284"/>
      <c r="U1400" s="284"/>
      <c r="V1400" s="284"/>
      <c r="W1400" s="284"/>
    </row>
    <row r="1401" spans="2:23" x14ac:dyDescent="0.25">
      <c r="B1401" s="286">
        <v>11</v>
      </c>
      <c r="C1401" s="286">
        <v>25</v>
      </c>
      <c r="D1401" s="286">
        <v>11</v>
      </c>
      <c r="E1401" s="286">
        <v>25</v>
      </c>
      <c r="F1401" s="286">
        <f t="shared" ref="F1401:F1405" si="148">E1401-D1401+1</f>
        <v>15</v>
      </c>
      <c r="G1401" s="284">
        <v>2</v>
      </c>
      <c r="H1401" s="286"/>
      <c r="I1401" s="284"/>
      <c r="J1401" s="284"/>
      <c r="K1401" s="284"/>
      <c r="L1401" s="284"/>
      <c r="M1401" s="284"/>
      <c r="N1401" s="284"/>
      <c r="O1401" s="284"/>
      <c r="P1401" s="284"/>
      <c r="Q1401" s="284"/>
      <c r="R1401" s="284"/>
      <c r="S1401" s="284"/>
      <c r="T1401" s="284"/>
      <c r="U1401" s="284"/>
      <c r="V1401" s="284"/>
      <c r="W1401" s="284"/>
    </row>
    <row r="1402" spans="2:23" x14ac:dyDescent="0.25">
      <c r="B1402" s="286">
        <v>26</v>
      </c>
      <c r="C1402" s="286">
        <v>55</v>
      </c>
      <c r="D1402" s="286">
        <v>26</v>
      </c>
      <c r="E1402" s="286">
        <v>55</v>
      </c>
      <c r="F1402" s="286">
        <f t="shared" si="148"/>
        <v>30</v>
      </c>
      <c r="G1402" s="284">
        <v>2.5</v>
      </c>
      <c r="H1402" s="286"/>
      <c r="I1402" s="284"/>
      <c r="J1402" s="284"/>
      <c r="K1402" s="284"/>
      <c r="L1402" s="284"/>
      <c r="M1402" s="284"/>
      <c r="N1402" s="284"/>
      <c r="O1402" s="284"/>
      <c r="P1402" s="284"/>
      <c r="Q1402" s="284"/>
      <c r="R1402" s="284"/>
      <c r="S1402" s="284"/>
      <c r="T1402" s="284"/>
      <c r="U1402" s="284"/>
      <c r="V1402" s="284"/>
      <c r="W1402" s="284"/>
    </row>
    <row r="1403" spans="2:23" x14ac:dyDescent="0.25">
      <c r="B1403" s="286">
        <v>56</v>
      </c>
      <c r="C1403" s="286">
        <v>85</v>
      </c>
      <c r="D1403" s="286">
        <v>56</v>
      </c>
      <c r="E1403" s="286">
        <v>85</v>
      </c>
      <c r="F1403" s="286">
        <f t="shared" si="148"/>
        <v>30</v>
      </c>
      <c r="G1403" s="284">
        <v>3</v>
      </c>
      <c r="H1403" s="286"/>
      <c r="I1403" s="284"/>
      <c r="J1403" s="284"/>
      <c r="K1403" s="284"/>
      <c r="L1403" s="284"/>
      <c r="M1403" s="284"/>
      <c r="N1403" s="284"/>
      <c r="O1403" s="284"/>
      <c r="P1403" s="284"/>
      <c r="Q1403" s="284"/>
      <c r="R1403" s="284"/>
      <c r="S1403" s="284"/>
      <c r="T1403" s="284"/>
      <c r="U1403" s="284"/>
      <c r="V1403" s="284"/>
      <c r="W1403" s="284"/>
    </row>
    <row r="1404" spans="2:23" x14ac:dyDescent="0.25">
      <c r="B1404" s="286">
        <v>86</v>
      </c>
      <c r="C1404" s="286">
        <v>100</v>
      </c>
      <c r="D1404" s="286">
        <v>86</v>
      </c>
      <c r="E1404" s="286">
        <v>100</v>
      </c>
      <c r="F1404" s="286">
        <f t="shared" si="148"/>
        <v>15</v>
      </c>
      <c r="G1404" s="284">
        <v>3</v>
      </c>
      <c r="H1404" s="286"/>
      <c r="I1404" s="284"/>
      <c r="J1404" s="284"/>
      <c r="K1404" s="284"/>
      <c r="L1404" s="284"/>
      <c r="M1404" s="284"/>
      <c r="N1404" s="284"/>
      <c r="O1404" s="284"/>
      <c r="P1404" s="284"/>
      <c r="Q1404" s="284"/>
      <c r="R1404" s="284"/>
      <c r="S1404" s="284"/>
      <c r="T1404" s="284"/>
      <c r="U1404" s="284"/>
      <c r="V1404" s="284"/>
      <c r="W1404" s="284"/>
    </row>
    <row r="1405" spans="2:23" x14ac:dyDescent="0.25">
      <c r="B1405" s="286">
        <v>101</v>
      </c>
      <c r="C1405" s="286">
        <v>110</v>
      </c>
      <c r="D1405" s="286">
        <v>101</v>
      </c>
      <c r="E1405" s="286">
        <v>110</v>
      </c>
      <c r="F1405" s="286">
        <f t="shared" si="148"/>
        <v>10</v>
      </c>
      <c r="G1405" s="284">
        <v>3</v>
      </c>
      <c r="H1405" s="286"/>
      <c r="I1405" s="284"/>
      <c r="J1405" s="284"/>
      <c r="K1405" s="284"/>
      <c r="L1405" s="284"/>
      <c r="M1405" s="284"/>
      <c r="N1405" s="284"/>
      <c r="O1405" s="284"/>
      <c r="P1405" s="284"/>
      <c r="Q1405" s="284"/>
      <c r="R1405" s="284"/>
      <c r="S1405" s="284"/>
      <c r="T1405" s="284"/>
      <c r="U1405" s="284"/>
      <c r="V1405" s="284"/>
      <c r="W1405" s="284"/>
    </row>
    <row r="1406" spans="2:23" x14ac:dyDescent="0.25">
      <c r="B1406" s="286">
        <v>111</v>
      </c>
      <c r="C1406" s="286">
        <v>120</v>
      </c>
      <c r="D1406" s="286"/>
      <c r="E1406" s="286"/>
      <c r="F1406" s="286"/>
      <c r="G1406" s="284">
        <v>3</v>
      </c>
      <c r="H1406" s="286"/>
      <c r="I1406" s="284"/>
      <c r="J1406" s="284"/>
      <c r="K1406" s="284"/>
      <c r="L1406" s="284"/>
      <c r="M1406" s="284"/>
      <c r="N1406" s="284"/>
      <c r="O1406" s="284"/>
      <c r="P1406" s="284"/>
      <c r="Q1406" s="284"/>
      <c r="R1406" s="284"/>
      <c r="S1406" s="284"/>
      <c r="T1406" s="284"/>
      <c r="U1406" s="284"/>
      <c r="V1406" s="284"/>
      <c r="W1406" s="284"/>
    </row>
    <row r="1407" spans="2:23" x14ac:dyDescent="0.25">
      <c r="B1407" s="284"/>
      <c r="C1407" s="284"/>
      <c r="D1407" s="284"/>
      <c r="E1407" s="284"/>
      <c r="F1407" s="284"/>
      <c r="G1407" s="284"/>
      <c r="H1407" s="284"/>
      <c r="I1407" s="284"/>
      <c r="J1407" s="284"/>
      <c r="K1407" s="284"/>
      <c r="L1407" s="284"/>
      <c r="M1407" s="284"/>
      <c r="N1407" s="284"/>
      <c r="O1407" s="284"/>
      <c r="P1407" s="284"/>
      <c r="Q1407" s="284"/>
      <c r="R1407" s="284"/>
      <c r="S1407" s="284"/>
      <c r="T1407" s="284"/>
      <c r="U1407" s="284"/>
      <c r="V1407" s="284"/>
      <c r="W1407" s="284"/>
    </row>
    <row r="1408" spans="2:23" x14ac:dyDescent="0.25">
      <c r="B1408" s="386" t="s">
        <v>328</v>
      </c>
      <c r="C1408" s="386"/>
      <c r="D1408" s="386"/>
      <c r="E1408" s="386"/>
      <c r="F1408" s="386"/>
      <c r="G1408" s="286"/>
      <c r="H1408" s="286"/>
      <c r="I1408" s="284"/>
      <c r="J1408" s="284"/>
      <c r="K1408" s="284"/>
      <c r="L1408" s="284"/>
      <c r="M1408" s="284"/>
      <c r="N1408" s="284"/>
      <c r="O1408" s="284"/>
      <c r="P1408" s="284"/>
      <c r="Q1408" s="284"/>
      <c r="R1408" s="284"/>
      <c r="S1408" s="284"/>
      <c r="T1408" s="284"/>
      <c r="U1408" s="284"/>
      <c r="V1408" s="284"/>
      <c r="W1408" s="284"/>
    </row>
    <row r="1409" spans="2:23" x14ac:dyDescent="0.25">
      <c r="B1409" s="386" t="s">
        <v>254</v>
      </c>
      <c r="C1409" s="386"/>
      <c r="D1409" s="386" t="s">
        <v>254</v>
      </c>
      <c r="E1409" s="386"/>
      <c r="F1409" s="192" t="s">
        <v>313</v>
      </c>
      <c r="G1409" s="286" t="s">
        <v>314</v>
      </c>
      <c r="H1409" s="286" t="s">
        <v>316</v>
      </c>
      <c r="I1409" s="284"/>
      <c r="J1409" s="284"/>
      <c r="K1409" s="284"/>
      <c r="L1409" s="284"/>
      <c r="M1409" s="284"/>
      <c r="N1409" s="284"/>
      <c r="O1409" s="284"/>
      <c r="P1409" s="284"/>
      <c r="Q1409" s="284"/>
      <c r="R1409" s="284"/>
      <c r="S1409" s="284"/>
      <c r="T1409" s="284"/>
      <c r="U1409" s="284"/>
      <c r="V1409" s="284"/>
      <c r="W1409" s="284"/>
    </row>
    <row r="1410" spans="2:23" x14ac:dyDescent="0.25">
      <c r="B1410" s="286">
        <v>0</v>
      </c>
      <c r="C1410" s="286">
        <v>10</v>
      </c>
      <c r="D1410" s="286"/>
      <c r="E1410" s="286"/>
      <c r="F1410" s="286">
        <v>0</v>
      </c>
      <c r="G1410" s="284">
        <v>1.5</v>
      </c>
      <c r="H1410" s="286">
        <f>(F1410*G1410+F1411*G1411+F1412*G1412+F1413*G1413+F1414*G1414+F1415*G1415+F1416*G1416)/100</f>
        <v>2.73</v>
      </c>
      <c r="I1410" s="284"/>
      <c r="J1410" s="284"/>
      <c r="K1410" s="284"/>
      <c r="L1410" s="284"/>
      <c r="M1410" s="284"/>
      <c r="N1410" s="284"/>
      <c r="O1410" s="284"/>
      <c r="P1410" s="284"/>
      <c r="Q1410" s="284"/>
      <c r="R1410" s="284"/>
      <c r="S1410" s="284"/>
      <c r="T1410" s="284"/>
      <c r="U1410" s="284"/>
      <c r="V1410" s="284"/>
      <c r="W1410" s="284"/>
    </row>
    <row r="1411" spans="2:23" x14ac:dyDescent="0.25">
      <c r="B1411" s="286">
        <v>11</v>
      </c>
      <c r="C1411" s="286">
        <v>25</v>
      </c>
      <c r="D1411" s="286">
        <v>11</v>
      </c>
      <c r="E1411" s="286">
        <v>25</v>
      </c>
      <c r="F1411" s="286">
        <f t="shared" ref="F1411:F1416" si="149">E1411-D1411+1</f>
        <v>15</v>
      </c>
      <c r="G1411" s="284">
        <v>2</v>
      </c>
      <c r="H1411" s="286"/>
      <c r="I1411" s="284"/>
      <c r="J1411" s="284"/>
      <c r="K1411" s="284"/>
      <c r="L1411" s="284"/>
      <c r="M1411" s="284"/>
      <c r="N1411" s="284"/>
      <c r="O1411" s="284"/>
      <c r="P1411" s="284"/>
      <c r="Q1411" s="284"/>
      <c r="R1411" s="284"/>
      <c r="S1411" s="284"/>
      <c r="T1411" s="284"/>
      <c r="U1411" s="284"/>
      <c r="V1411" s="284"/>
      <c r="W1411" s="284"/>
    </row>
    <row r="1412" spans="2:23" x14ac:dyDescent="0.25">
      <c r="B1412" s="286">
        <v>26</v>
      </c>
      <c r="C1412" s="286">
        <v>55</v>
      </c>
      <c r="D1412" s="286">
        <v>26</v>
      </c>
      <c r="E1412" s="286">
        <v>55</v>
      </c>
      <c r="F1412" s="286">
        <f t="shared" si="149"/>
        <v>30</v>
      </c>
      <c r="G1412" s="284">
        <v>2.5</v>
      </c>
      <c r="H1412" s="286"/>
      <c r="I1412" s="284"/>
      <c r="J1412" s="284"/>
      <c r="K1412" s="284"/>
      <c r="L1412" s="284"/>
      <c r="M1412" s="284"/>
      <c r="N1412" s="284"/>
      <c r="O1412" s="284"/>
      <c r="P1412" s="284"/>
      <c r="Q1412" s="284"/>
      <c r="R1412" s="284"/>
      <c r="S1412" s="284"/>
      <c r="T1412" s="284"/>
      <c r="U1412" s="284"/>
      <c r="V1412" s="284"/>
      <c r="W1412" s="284"/>
    </row>
    <row r="1413" spans="2:23" x14ac:dyDescent="0.25">
      <c r="B1413" s="286">
        <v>56</v>
      </c>
      <c r="C1413" s="286">
        <v>85</v>
      </c>
      <c r="D1413" s="286">
        <v>56</v>
      </c>
      <c r="E1413" s="286">
        <v>85</v>
      </c>
      <c r="F1413" s="286">
        <f t="shared" si="149"/>
        <v>30</v>
      </c>
      <c r="G1413" s="284">
        <v>3</v>
      </c>
      <c r="H1413" s="286"/>
      <c r="I1413" s="284"/>
      <c r="J1413" s="284"/>
      <c r="K1413" s="284"/>
      <c r="L1413" s="284"/>
      <c r="M1413" s="284"/>
      <c r="N1413" s="284"/>
      <c r="O1413" s="284"/>
      <c r="P1413" s="284"/>
      <c r="Q1413" s="284"/>
      <c r="R1413" s="284"/>
      <c r="S1413" s="284"/>
      <c r="T1413" s="284"/>
      <c r="U1413" s="284"/>
      <c r="V1413" s="284"/>
      <c r="W1413" s="284"/>
    </row>
    <row r="1414" spans="2:23" x14ac:dyDescent="0.25">
      <c r="B1414" s="286">
        <v>86</v>
      </c>
      <c r="C1414" s="286">
        <v>100</v>
      </c>
      <c r="D1414" s="286">
        <v>86</v>
      </c>
      <c r="E1414" s="286">
        <v>100</v>
      </c>
      <c r="F1414" s="286">
        <f t="shared" si="149"/>
        <v>15</v>
      </c>
      <c r="G1414" s="284">
        <v>3</v>
      </c>
      <c r="H1414" s="286"/>
      <c r="I1414" s="284"/>
      <c r="J1414" s="284"/>
      <c r="K1414" s="284"/>
      <c r="L1414" s="284"/>
      <c r="M1414" s="284"/>
      <c r="N1414" s="284"/>
      <c r="O1414" s="284"/>
      <c r="P1414" s="284"/>
      <c r="Q1414" s="284"/>
      <c r="R1414" s="284"/>
      <c r="S1414" s="284"/>
      <c r="T1414" s="284"/>
      <c r="U1414" s="284"/>
      <c r="V1414" s="284"/>
      <c r="W1414" s="284"/>
    </row>
    <row r="1415" spans="2:23" x14ac:dyDescent="0.25">
      <c r="B1415" s="286">
        <v>101</v>
      </c>
      <c r="C1415" s="286">
        <v>110</v>
      </c>
      <c r="D1415" s="286">
        <v>101</v>
      </c>
      <c r="E1415" s="286">
        <v>110</v>
      </c>
      <c r="F1415" s="286">
        <f t="shared" si="149"/>
        <v>10</v>
      </c>
      <c r="G1415" s="284">
        <v>3</v>
      </c>
      <c r="H1415" s="286"/>
      <c r="I1415" s="284"/>
      <c r="J1415" s="284"/>
      <c r="K1415" s="284"/>
      <c r="L1415" s="284"/>
      <c r="M1415" s="284"/>
      <c r="N1415" s="284"/>
      <c r="O1415" s="284"/>
      <c r="P1415" s="284"/>
      <c r="Q1415" s="284"/>
      <c r="R1415" s="284"/>
      <c r="S1415" s="284"/>
      <c r="T1415" s="284"/>
      <c r="U1415" s="284"/>
      <c r="V1415" s="284"/>
      <c r="W1415" s="284"/>
    </row>
    <row r="1416" spans="2:23" x14ac:dyDescent="0.25">
      <c r="B1416" s="286">
        <v>111</v>
      </c>
      <c r="C1416" s="286">
        <v>120</v>
      </c>
      <c r="D1416" s="286">
        <v>111</v>
      </c>
      <c r="E1416" s="286">
        <v>111</v>
      </c>
      <c r="F1416" s="286">
        <f t="shared" si="149"/>
        <v>1</v>
      </c>
      <c r="G1416" s="284">
        <v>3</v>
      </c>
      <c r="H1416" s="286"/>
      <c r="I1416" s="284"/>
      <c r="J1416" s="284"/>
      <c r="K1416" s="284"/>
      <c r="L1416" s="286"/>
      <c r="M1416" s="284"/>
      <c r="N1416" s="284"/>
      <c r="O1416" s="284"/>
      <c r="P1416" s="284"/>
      <c r="Q1416" s="284"/>
      <c r="R1416" s="284"/>
      <c r="S1416" s="284"/>
      <c r="T1416" s="284"/>
      <c r="U1416" s="284"/>
      <c r="V1416" s="284"/>
      <c r="W1416" s="284"/>
    </row>
    <row r="1417" spans="2:23" x14ac:dyDescent="0.25">
      <c r="B1417" s="284"/>
      <c r="C1417" s="284"/>
      <c r="D1417" s="284"/>
      <c r="E1417" s="284"/>
      <c r="F1417" s="284"/>
      <c r="G1417" s="284"/>
      <c r="H1417" s="284"/>
      <c r="I1417" s="284"/>
      <c r="J1417" s="284"/>
      <c r="K1417" s="284"/>
      <c r="L1417" s="284"/>
      <c r="M1417" s="284"/>
      <c r="N1417" s="284"/>
      <c r="O1417" s="284"/>
      <c r="P1417" s="284"/>
      <c r="Q1417" s="284"/>
      <c r="R1417" s="284"/>
      <c r="S1417" s="284"/>
      <c r="T1417" s="284"/>
      <c r="U1417" s="284"/>
      <c r="V1417" s="284"/>
      <c r="W1417" s="284"/>
    </row>
    <row r="1418" spans="2:23" x14ac:dyDescent="0.25">
      <c r="B1418" s="386" t="s">
        <v>329</v>
      </c>
      <c r="C1418" s="386"/>
      <c r="D1418" s="386"/>
      <c r="E1418" s="386"/>
      <c r="F1418" s="386"/>
      <c r="G1418" s="286"/>
      <c r="H1418" s="286"/>
      <c r="I1418" s="284"/>
      <c r="J1418" s="284"/>
      <c r="K1418" s="284"/>
      <c r="L1418" s="284"/>
      <c r="M1418" s="284"/>
      <c r="N1418" s="284"/>
      <c r="O1418" s="284"/>
      <c r="P1418" s="284"/>
      <c r="Q1418" s="284"/>
      <c r="R1418" s="284"/>
      <c r="S1418" s="284"/>
      <c r="T1418" s="284"/>
      <c r="U1418" s="284"/>
      <c r="V1418" s="284"/>
      <c r="W1418" s="284"/>
    </row>
    <row r="1419" spans="2:23" x14ac:dyDescent="0.25">
      <c r="B1419" s="386" t="s">
        <v>254</v>
      </c>
      <c r="C1419" s="386"/>
      <c r="D1419" s="386" t="s">
        <v>254</v>
      </c>
      <c r="E1419" s="386"/>
      <c r="F1419" s="192" t="s">
        <v>313</v>
      </c>
      <c r="G1419" s="286" t="s">
        <v>314</v>
      </c>
      <c r="H1419" s="286" t="s">
        <v>316</v>
      </c>
      <c r="I1419" s="284"/>
      <c r="J1419" s="284"/>
      <c r="K1419" s="284"/>
      <c r="L1419" s="284"/>
      <c r="M1419" s="284"/>
      <c r="N1419" s="284"/>
      <c r="O1419" s="284"/>
      <c r="P1419" s="284"/>
      <c r="Q1419" s="284"/>
      <c r="R1419" s="284"/>
      <c r="S1419" s="284"/>
      <c r="T1419" s="284"/>
      <c r="U1419" s="284"/>
      <c r="V1419" s="284"/>
      <c r="W1419" s="284"/>
    </row>
    <row r="1420" spans="2:23" x14ac:dyDescent="0.25">
      <c r="B1420" s="286">
        <v>0</v>
      </c>
      <c r="C1420" s="286">
        <v>10</v>
      </c>
      <c r="D1420" s="286"/>
      <c r="E1420" s="286"/>
      <c r="F1420" s="286">
        <v>0</v>
      </c>
      <c r="G1420" s="284">
        <v>1.5</v>
      </c>
      <c r="H1420" s="286">
        <f>(F1420*G1420+F1421*G1421+F1422*G1422+F1423*G1423+F1424*G1424+F1425*G1425+F1426*G1426)/100</f>
        <v>2.74</v>
      </c>
      <c r="I1420" s="284"/>
      <c r="J1420" s="284"/>
      <c r="L1420" s="284"/>
      <c r="M1420" s="284"/>
      <c r="N1420" s="284"/>
      <c r="O1420" s="284"/>
      <c r="P1420" s="284"/>
      <c r="Q1420" s="284"/>
      <c r="R1420" s="284"/>
      <c r="S1420" s="284"/>
      <c r="T1420" s="284"/>
      <c r="U1420" s="284"/>
      <c r="V1420" s="284"/>
      <c r="W1420" s="284"/>
    </row>
    <row r="1421" spans="2:23" x14ac:dyDescent="0.25">
      <c r="B1421" s="286">
        <v>11</v>
      </c>
      <c r="C1421" s="286">
        <v>25</v>
      </c>
      <c r="D1421" s="286">
        <v>12</v>
      </c>
      <c r="E1421" s="286">
        <v>25</v>
      </c>
      <c r="F1421" s="286">
        <f t="shared" ref="F1421:F1426" si="150">E1421-D1421+1</f>
        <v>14</v>
      </c>
      <c r="G1421" s="284">
        <v>2</v>
      </c>
      <c r="H1421" s="286"/>
      <c r="I1421" s="284"/>
      <c r="J1421" s="284"/>
      <c r="L1421" s="284"/>
      <c r="M1421" s="284"/>
      <c r="N1421" s="284"/>
      <c r="O1421" s="284"/>
      <c r="P1421" s="284"/>
      <c r="Q1421" s="284"/>
      <c r="R1421" s="284"/>
      <c r="S1421" s="284"/>
      <c r="T1421" s="284"/>
      <c r="U1421" s="284"/>
      <c r="V1421" s="284"/>
      <c r="W1421" s="284"/>
    </row>
    <row r="1422" spans="2:23" x14ac:dyDescent="0.25">
      <c r="B1422" s="286">
        <v>26</v>
      </c>
      <c r="C1422" s="286">
        <v>55</v>
      </c>
      <c r="D1422" s="286">
        <v>26</v>
      </c>
      <c r="E1422" s="286">
        <v>55</v>
      </c>
      <c r="F1422" s="286">
        <f t="shared" si="150"/>
        <v>30</v>
      </c>
      <c r="G1422" s="284">
        <v>2.5</v>
      </c>
      <c r="H1422" s="286"/>
      <c r="I1422" s="284"/>
      <c r="J1422" s="284"/>
      <c r="L1422" s="284"/>
      <c r="M1422" s="284"/>
      <c r="N1422" s="284"/>
      <c r="O1422" s="284"/>
      <c r="P1422" s="284"/>
      <c r="Q1422" s="284"/>
      <c r="R1422" s="284"/>
      <c r="S1422" s="284"/>
      <c r="T1422" s="284"/>
      <c r="U1422" s="284"/>
      <c r="V1422" s="284"/>
      <c r="W1422" s="284"/>
    </row>
    <row r="1423" spans="2:23" x14ac:dyDescent="0.25">
      <c r="B1423" s="286">
        <v>56</v>
      </c>
      <c r="C1423" s="286">
        <v>85</v>
      </c>
      <c r="D1423" s="286">
        <v>56</v>
      </c>
      <c r="E1423" s="286">
        <v>85</v>
      </c>
      <c r="F1423" s="286">
        <f t="shared" si="150"/>
        <v>30</v>
      </c>
      <c r="G1423" s="284">
        <v>3</v>
      </c>
      <c r="H1423" s="286"/>
      <c r="I1423" s="284"/>
      <c r="J1423" s="284"/>
      <c r="L1423" s="284"/>
      <c r="M1423" s="284"/>
      <c r="N1423" s="284"/>
      <c r="O1423" s="284"/>
      <c r="P1423" s="284"/>
      <c r="Q1423" s="284"/>
      <c r="R1423" s="284"/>
      <c r="S1423" s="284"/>
      <c r="T1423" s="284"/>
      <c r="U1423" s="284"/>
      <c r="V1423" s="284"/>
      <c r="W1423" s="284"/>
    </row>
    <row r="1424" spans="2:23" x14ac:dyDescent="0.25">
      <c r="B1424" s="286">
        <v>86</v>
      </c>
      <c r="C1424" s="286">
        <v>100</v>
      </c>
      <c r="D1424" s="286">
        <v>86</v>
      </c>
      <c r="E1424" s="286">
        <v>100</v>
      </c>
      <c r="F1424" s="286">
        <f t="shared" si="150"/>
        <v>15</v>
      </c>
      <c r="G1424" s="284">
        <v>3</v>
      </c>
      <c r="H1424" s="286"/>
      <c r="I1424" s="284"/>
      <c r="J1424" s="284"/>
      <c r="L1424" s="284"/>
      <c r="M1424" s="284"/>
      <c r="N1424" s="284"/>
      <c r="O1424" s="284"/>
      <c r="P1424" s="284"/>
      <c r="Q1424" s="284"/>
      <c r="R1424" s="284"/>
      <c r="S1424" s="284"/>
      <c r="T1424" s="284"/>
      <c r="U1424" s="284"/>
      <c r="V1424" s="284"/>
      <c r="W1424" s="284"/>
    </row>
    <row r="1425" spans="2:23" x14ac:dyDescent="0.25">
      <c r="B1425" s="286">
        <v>101</v>
      </c>
      <c r="C1425" s="286">
        <v>110</v>
      </c>
      <c r="D1425" s="286">
        <v>101</v>
      </c>
      <c r="E1425" s="286">
        <v>110</v>
      </c>
      <c r="F1425" s="286">
        <f t="shared" si="150"/>
        <v>10</v>
      </c>
      <c r="G1425" s="284">
        <v>3</v>
      </c>
      <c r="H1425" s="286"/>
      <c r="I1425" s="284"/>
      <c r="J1425" s="284"/>
      <c r="L1425" s="284"/>
      <c r="M1425" s="284"/>
      <c r="N1425" s="284"/>
      <c r="O1425" s="284"/>
      <c r="P1425" s="284"/>
      <c r="Q1425" s="284"/>
      <c r="R1425" s="284"/>
      <c r="S1425" s="284"/>
      <c r="T1425" s="284"/>
      <c r="U1425" s="284"/>
      <c r="V1425" s="284"/>
      <c r="W1425" s="284"/>
    </row>
    <row r="1426" spans="2:23" x14ac:dyDescent="0.25">
      <c r="B1426" s="286">
        <v>111</v>
      </c>
      <c r="C1426" s="286">
        <v>120</v>
      </c>
      <c r="D1426" s="286">
        <v>111</v>
      </c>
      <c r="E1426" s="286">
        <v>112</v>
      </c>
      <c r="F1426" s="286">
        <f t="shared" si="150"/>
        <v>2</v>
      </c>
      <c r="G1426" s="284">
        <v>3</v>
      </c>
      <c r="H1426" s="286"/>
      <c r="I1426" s="284"/>
      <c r="J1426" s="284"/>
      <c r="L1426" s="284"/>
      <c r="M1426" s="284"/>
      <c r="N1426" s="284"/>
      <c r="O1426" s="284"/>
      <c r="P1426" s="284"/>
      <c r="Q1426" s="284"/>
      <c r="R1426" s="284"/>
      <c r="S1426" s="284"/>
      <c r="T1426" s="284"/>
      <c r="U1426" s="284"/>
      <c r="V1426" s="284"/>
      <c r="W1426" s="284"/>
    </row>
    <row r="1427" spans="2:23" x14ac:dyDescent="0.25">
      <c r="B1427" s="284"/>
      <c r="C1427" s="284"/>
      <c r="D1427" s="284"/>
      <c r="E1427" s="284"/>
      <c r="F1427" s="284"/>
      <c r="G1427" s="284"/>
      <c r="H1427" s="284"/>
      <c r="I1427" s="284"/>
      <c r="J1427" s="284"/>
      <c r="L1427" s="284"/>
      <c r="M1427" s="284"/>
      <c r="N1427" s="284"/>
      <c r="O1427" s="284"/>
      <c r="P1427" s="284"/>
      <c r="Q1427" s="284"/>
      <c r="R1427" s="284"/>
      <c r="S1427" s="284"/>
      <c r="T1427" s="284"/>
      <c r="U1427" s="284"/>
      <c r="V1427" s="284"/>
      <c r="W1427" s="284"/>
    </row>
    <row r="1428" spans="2:23" x14ac:dyDescent="0.25">
      <c r="B1428" s="386" t="s">
        <v>330</v>
      </c>
      <c r="C1428" s="386"/>
      <c r="D1428" s="386"/>
      <c r="E1428" s="386"/>
      <c r="F1428" s="386"/>
      <c r="G1428" s="286"/>
      <c r="H1428" s="286"/>
      <c r="I1428" s="284"/>
      <c r="J1428" s="284"/>
      <c r="L1428" s="284"/>
      <c r="M1428" s="284"/>
      <c r="N1428" s="284"/>
      <c r="O1428" s="284"/>
      <c r="P1428" s="284"/>
      <c r="Q1428" s="284"/>
      <c r="R1428" s="284"/>
      <c r="S1428" s="284"/>
      <c r="T1428" s="284"/>
      <c r="U1428" s="284"/>
      <c r="V1428" s="284"/>
      <c r="W1428" s="284"/>
    </row>
    <row r="1429" spans="2:23" x14ac:dyDescent="0.25">
      <c r="B1429" s="386" t="s">
        <v>254</v>
      </c>
      <c r="C1429" s="386"/>
      <c r="D1429" s="386" t="s">
        <v>254</v>
      </c>
      <c r="E1429" s="386"/>
      <c r="F1429" s="192" t="s">
        <v>313</v>
      </c>
      <c r="G1429" s="286" t="s">
        <v>314</v>
      </c>
      <c r="H1429" s="286" t="s">
        <v>316</v>
      </c>
      <c r="I1429" s="284"/>
      <c r="J1429" s="284"/>
      <c r="L1429" s="284"/>
      <c r="M1429" s="284"/>
      <c r="N1429" s="284"/>
      <c r="O1429" s="284"/>
      <c r="P1429" s="284"/>
      <c r="Q1429" s="284"/>
      <c r="R1429" s="284"/>
      <c r="S1429" s="284"/>
      <c r="T1429" s="284"/>
      <c r="U1429" s="284"/>
      <c r="V1429" s="284"/>
      <c r="W1429" s="284"/>
    </row>
    <row r="1430" spans="2:23" x14ac:dyDescent="0.25">
      <c r="B1430" s="286">
        <v>0</v>
      </c>
      <c r="C1430" s="286">
        <v>10</v>
      </c>
      <c r="D1430" s="286"/>
      <c r="E1430" s="286"/>
      <c r="F1430" s="286">
        <v>0</v>
      </c>
      <c r="G1430" s="284">
        <v>1.5</v>
      </c>
      <c r="H1430" s="286">
        <f>(F1430*G1430+F1431*G1431+F1432*G1432+F1433*G1433+F1434*G1434+F1435*G1435+F1436*G1436)/100</f>
        <v>2.75</v>
      </c>
      <c r="I1430" s="284"/>
      <c r="J1430" s="284"/>
      <c r="K1430" s="284"/>
      <c r="L1430" s="284"/>
      <c r="M1430" s="284"/>
      <c r="N1430" s="284"/>
      <c r="O1430" s="284"/>
      <c r="P1430" s="284"/>
      <c r="Q1430" s="284"/>
      <c r="R1430" s="284"/>
      <c r="S1430" s="284"/>
      <c r="T1430" s="284"/>
      <c r="U1430" s="284"/>
      <c r="V1430" s="284"/>
      <c r="W1430" s="284"/>
    </row>
    <row r="1431" spans="2:23" x14ac:dyDescent="0.25">
      <c r="B1431" s="286">
        <v>11</v>
      </c>
      <c r="C1431" s="286">
        <v>25</v>
      </c>
      <c r="D1431" s="286">
        <v>13</v>
      </c>
      <c r="E1431" s="286">
        <v>25</v>
      </c>
      <c r="F1431" s="286">
        <f t="shared" ref="F1431:F1436" si="151">E1431-D1431+1</f>
        <v>13</v>
      </c>
      <c r="G1431" s="284">
        <v>2</v>
      </c>
      <c r="H1431" s="286"/>
      <c r="I1431" s="284"/>
      <c r="J1431" s="284"/>
      <c r="K1431" s="284"/>
      <c r="L1431" s="284"/>
      <c r="M1431" s="284"/>
      <c r="N1431" s="284"/>
      <c r="O1431" s="284"/>
      <c r="P1431" s="284"/>
      <c r="Q1431" s="284"/>
      <c r="R1431" s="284"/>
      <c r="S1431" s="284"/>
      <c r="T1431" s="284"/>
      <c r="U1431" s="284"/>
      <c r="V1431" s="284"/>
      <c r="W1431" s="284"/>
    </row>
    <row r="1432" spans="2:23" x14ac:dyDescent="0.25">
      <c r="B1432" s="286">
        <v>26</v>
      </c>
      <c r="C1432" s="286">
        <v>55</v>
      </c>
      <c r="D1432" s="286">
        <v>26</v>
      </c>
      <c r="E1432" s="286">
        <v>55</v>
      </c>
      <c r="F1432" s="286">
        <f t="shared" si="151"/>
        <v>30</v>
      </c>
      <c r="G1432" s="284">
        <v>2.5</v>
      </c>
      <c r="H1432" s="286"/>
      <c r="I1432" s="284"/>
      <c r="J1432" s="284"/>
      <c r="K1432" s="284"/>
      <c r="L1432" s="284"/>
      <c r="M1432" s="284"/>
      <c r="N1432" s="284"/>
      <c r="O1432" s="284"/>
      <c r="P1432" s="284"/>
      <c r="Q1432" s="284"/>
      <c r="R1432" s="284"/>
      <c r="S1432" s="284"/>
      <c r="T1432" s="284"/>
      <c r="U1432" s="284"/>
      <c r="V1432" s="284"/>
      <c r="W1432" s="284"/>
    </row>
    <row r="1433" spans="2:23" x14ac:dyDescent="0.25">
      <c r="B1433" s="286">
        <v>56</v>
      </c>
      <c r="C1433" s="286">
        <v>85</v>
      </c>
      <c r="D1433" s="286">
        <v>56</v>
      </c>
      <c r="E1433" s="286">
        <v>85</v>
      </c>
      <c r="F1433" s="286">
        <f t="shared" si="151"/>
        <v>30</v>
      </c>
      <c r="G1433" s="284">
        <v>3</v>
      </c>
      <c r="H1433" s="286"/>
      <c r="I1433" s="284"/>
      <c r="J1433" s="284"/>
      <c r="K1433" s="284"/>
      <c r="L1433" s="284"/>
      <c r="M1433" s="284"/>
      <c r="N1433" s="284"/>
      <c r="O1433" s="284"/>
      <c r="P1433" s="284"/>
      <c r="Q1433" s="284"/>
      <c r="R1433" s="284"/>
      <c r="S1433" s="284"/>
      <c r="T1433" s="284"/>
      <c r="U1433" s="284"/>
      <c r="V1433" s="284"/>
      <c r="W1433" s="284"/>
    </row>
    <row r="1434" spans="2:23" x14ac:dyDescent="0.25">
      <c r="B1434" s="286">
        <v>86</v>
      </c>
      <c r="C1434" s="286">
        <v>100</v>
      </c>
      <c r="D1434" s="286">
        <v>86</v>
      </c>
      <c r="E1434" s="286">
        <v>100</v>
      </c>
      <c r="F1434" s="286">
        <f t="shared" si="151"/>
        <v>15</v>
      </c>
      <c r="G1434" s="284">
        <v>3</v>
      </c>
      <c r="H1434" s="286"/>
      <c r="I1434" s="284"/>
      <c r="J1434" s="284"/>
      <c r="K1434" s="284"/>
      <c r="L1434" s="284"/>
      <c r="M1434" s="284"/>
      <c r="N1434" s="284"/>
      <c r="O1434" s="284"/>
      <c r="P1434" s="284"/>
      <c r="Q1434" s="284"/>
      <c r="R1434" s="284"/>
      <c r="S1434" s="284"/>
      <c r="T1434" s="284"/>
      <c r="U1434" s="284"/>
      <c r="V1434" s="284"/>
      <c r="W1434" s="284"/>
    </row>
    <row r="1435" spans="2:23" x14ac:dyDescent="0.25">
      <c r="B1435" s="286">
        <v>101</v>
      </c>
      <c r="C1435" s="286">
        <v>110</v>
      </c>
      <c r="D1435" s="286">
        <v>101</v>
      </c>
      <c r="E1435" s="286">
        <v>110</v>
      </c>
      <c r="F1435" s="286">
        <f t="shared" si="151"/>
        <v>10</v>
      </c>
      <c r="G1435" s="284">
        <v>3</v>
      </c>
      <c r="H1435" s="286"/>
      <c r="I1435" s="284"/>
      <c r="J1435" s="284"/>
      <c r="K1435" s="284"/>
      <c r="L1435" s="284"/>
      <c r="M1435" s="284"/>
      <c r="N1435" s="284"/>
      <c r="O1435" s="284"/>
      <c r="P1435" s="284"/>
      <c r="Q1435" s="284"/>
      <c r="R1435" s="284"/>
      <c r="S1435" s="284"/>
      <c r="T1435" s="284"/>
      <c r="U1435" s="284"/>
      <c r="V1435" s="284"/>
      <c r="W1435" s="284"/>
    </row>
    <row r="1436" spans="2:23" x14ac:dyDescent="0.25">
      <c r="B1436" s="286">
        <v>111</v>
      </c>
      <c r="C1436" s="286">
        <v>120</v>
      </c>
      <c r="D1436" s="286">
        <v>111</v>
      </c>
      <c r="E1436" s="286">
        <v>113</v>
      </c>
      <c r="F1436" s="286">
        <f t="shared" si="151"/>
        <v>3</v>
      </c>
      <c r="G1436" s="284">
        <v>3</v>
      </c>
      <c r="H1436" s="286"/>
      <c r="I1436" s="284"/>
      <c r="J1436" s="284"/>
      <c r="K1436" s="284"/>
      <c r="L1436" s="284"/>
      <c r="M1436" s="284"/>
      <c r="N1436" s="284"/>
      <c r="O1436" s="284"/>
      <c r="P1436" s="284"/>
      <c r="Q1436" s="284"/>
      <c r="R1436" s="284"/>
      <c r="S1436" s="284"/>
      <c r="T1436" s="284"/>
      <c r="U1436" s="284"/>
      <c r="V1436" s="284"/>
      <c r="W1436" s="284"/>
    </row>
    <row r="1437" spans="2:23" x14ac:dyDescent="0.25">
      <c r="B1437" s="284"/>
      <c r="C1437" s="284"/>
      <c r="D1437" s="284"/>
      <c r="E1437" s="284"/>
      <c r="F1437" s="284"/>
      <c r="G1437" s="284"/>
      <c r="H1437" s="284"/>
      <c r="I1437" s="284"/>
      <c r="J1437" s="284"/>
      <c r="K1437" s="284"/>
      <c r="L1437" s="284"/>
      <c r="M1437" s="284"/>
      <c r="N1437" s="284"/>
      <c r="O1437" s="284"/>
      <c r="P1437" s="284"/>
      <c r="Q1437" s="284"/>
      <c r="R1437" s="284"/>
      <c r="S1437" s="284"/>
      <c r="T1437" s="284"/>
      <c r="U1437" s="284"/>
      <c r="V1437" s="284"/>
      <c r="W1437" s="284"/>
    </row>
    <row r="1438" spans="2:23" x14ac:dyDescent="0.25">
      <c r="B1438" s="386" t="s">
        <v>331</v>
      </c>
      <c r="C1438" s="386"/>
      <c r="D1438" s="386"/>
      <c r="E1438" s="386"/>
      <c r="F1438" s="386"/>
      <c r="G1438" s="286"/>
      <c r="H1438" s="286"/>
      <c r="I1438" s="284"/>
      <c r="J1438" s="284"/>
      <c r="K1438" s="284"/>
      <c r="L1438" s="284"/>
      <c r="M1438" s="284"/>
      <c r="N1438" s="284"/>
      <c r="O1438" s="284"/>
      <c r="P1438" s="284"/>
      <c r="Q1438" s="284"/>
      <c r="R1438" s="284"/>
      <c r="S1438" s="284"/>
      <c r="T1438" s="284"/>
      <c r="U1438" s="284"/>
      <c r="V1438" s="284"/>
      <c r="W1438" s="284"/>
    </row>
    <row r="1439" spans="2:23" x14ac:dyDescent="0.25">
      <c r="B1439" s="386" t="s">
        <v>254</v>
      </c>
      <c r="C1439" s="386"/>
      <c r="D1439" s="386" t="s">
        <v>254</v>
      </c>
      <c r="E1439" s="386"/>
      <c r="F1439" s="192" t="s">
        <v>313</v>
      </c>
      <c r="G1439" s="286" t="s">
        <v>314</v>
      </c>
      <c r="H1439" s="286" t="s">
        <v>316</v>
      </c>
      <c r="I1439" s="284"/>
      <c r="J1439" s="284"/>
      <c r="K1439" s="284"/>
      <c r="L1439" s="284"/>
      <c r="M1439" s="284"/>
      <c r="N1439" s="284"/>
      <c r="O1439" s="284"/>
      <c r="P1439" s="284"/>
      <c r="Q1439" s="284"/>
      <c r="R1439" s="284"/>
      <c r="S1439" s="284"/>
      <c r="T1439" s="284"/>
      <c r="U1439" s="284"/>
      <c r="V1439" s="284"/>
      <c r="W1439" s="284"/>
    </row>
    <row r="1440" spans="2:23" x14ac:dyDescent="0.25">
      <c r="B1440" s="286">
        <v>0</v>
      </c>
      <c r="C1440" s="286">
        <v>10</v>
      </c>
      <c r="D1440" s="286"/>
      <c r="E1440" s="286"/>
      <c r="F1440" s="286">
        <v>0</v>
      </c>
      <c r="G1440" s="284">
        <v>1.5</v>
      </c>
      <c r="H1440" s="286">
        <f>(F1440*G1440+F1441*G1441+F1442*G1442+F1443*G1443+F1444*G1444+F1445*G1445+F1446*G1446)/100</f>
        <v>2.76</v>
      </c>
      <c r="I1440" s="284"/>
      <c r="J1440" s="284"/>
      <c r="K1440" s="284"/>
      <c r="L1440" s="284"/>
      <c r="M1440" s="284"/>
      <c r="N1440" s="284"/>
      <c r="O1440" s="284"/>
      <c r="P1440" s="284"/>
      <c r="Q1440" s="284"/>
      <c r="R1440" s="284"/>
      <c r="S1440" s="284"/>
      <c r="T1440" s="284"/>
      <c r="U1440" s="284"/>
      <c r="V1440" s="284"/>
      <c r="W1440" s="284"/>
    </row>
    <row r="1441" spans="2:23" x14ac:dyDescent="0.25">
      <c r="B1441" s="286">
        <v>11</v>
      </c>
      <c r="C1441" s="286">
        <v>25</v>
      </c>
      <c r="D1441" s="286">
        <v>14</v>
      </c>
      <c r="E1441" s="286">
        <v>25</v>
      </c>
      <c r="F1441" s="286">
        <f t="shared" ref="F1441:F1446" si="152">E1441-D1441+1</f>
        <v>12</v>
      </c>
      <c r="G1441" s="284">
        <v>2</v>
      </c>
      <c r="H1441" s="286"/>
      <c r="I1441" s="284"/>
      <c r="J1441" s="284"/>
      <c r="K1441" s="284"/>
      <c r="L1441" s="284"/>
      <c r="M1441" s="284"/>
      <c r="N1441" s="284"/>
      <c r="O1441" s="284"/>
      <c r="P1441" s="284"/>
      <c r="Q1441" s="284"/>
      <c r="R1441" s="284"/>
      <c r="S1441" s="284"/>
      <c r="T1441" s="284"/>
      <c r="U1441" s="284"/>
      <c r="V1441" s="284"/>
      <c r="W1441" s="284"/>
    </row>
    <row r="1442" spans="2:23" x14ac:dyDescent="0.25">
      <c r="B1442" s="286">
        <v>26</v>
      </c>
      <c r="C1442" s="286">
        <v>55</v>
      </c>
      <c r="D1442" s="286">
        <v>26</v>
      </c>
      <c r="E1442" s="286">
        <v>55</v>
      </c>
      <c r="F1442" s="286">
        <f t="shared" si="152"/>
        <v>30</v>
      </c>
      <c r="G1442" s="284">
        <v>2.5</v>
      </c>
      <c r="H1442" s="286"/>
      <c r="I1442" s="284"/>
      <c r="J1442" s="284"/>
      <c r="K1442" s="284"/>
      <c r="L1442" s="284"/>
      <c r="M1442" s="284"/>
      <c r="N1442" s="284"/>
      <c r="O1442" s="284"/>
      <c r="P1442" s="284"/>
      <c r="Q1442" s="284"/>
      <c r="R1442" s="284"/>
      <c r="S1442" s="284"/>
      <c r="T1442" s="284"/>
      <c r="U1442" s="284"/>
      <c r="V1442" s="284"/>
      <c r="W1442" s="284"/>
    </row>
    <row r="1443" spans="2:23" x14ac:dyDescent="0.25">
      <c r="B1443" s="286">
        <v>56</v>
      </c>
      <c r="C1443" s="286">
        <v>85</v>
      </c>
      <c r="D1443" s="286">
        <v>56</v>
      </c>
      <c r="E1443" s="286">
        <v>85</v>
      </c>
      <c r="F1443" s="286">
        <f t="shared" si="152"/>
        <v>30</v>
      </c>
      <c r="G1443" s="284">
        <v>3</v>
      </c>
      <c r="H1443" s="286"/>
      <c r="I1443" s="284"/>
      <c r="J1443" s="284"/>
      <c r="K1443" s="284"/>
      <c r="L1443" s="284"/>
      <c r="M1443" s="284"/>
      <c r="N1443" s="284"/>
      <c r="O1443" s="284"/>
      <c r="P1443" s="284"/>
      <c r="Q1443" s="284"/>
      <c r="R1443" s="284"/>
      <c r="S1443" s="284"/>
      <c r="T1443" s="284"/>
      <c r="U1443" s="284"/>
      <c r="V1443" s="284"/>
      <c r="W1443" s="284"/>
    </row>
    <row r="1444" spans="2:23" x14ac:dyDescent="0.25">
      <c r="B1444" s="286">
        <v>86</v>
      </c>
      <c r="C1444" s="286">
        <v>100</v>
      </c>
      <c r="D1444" s="286">
        <v>86</v>
      </c>
      <c r="E1444" s="286">
        <v>100</v>
      </c>
      <c r="F1444" s="286">
        <f t="shared" si="152"/>
        <v>15</v>
      </c>
      <c r="G1444" s="284">
        <v>3</v>
      </c>
      <c r="H1444" s="286"/>
      <c r="I1444" s="284"/>
      <c r="J1444" s="284"/>
      <c r="K1444" s="284"/>
      <c r="L1444" s="284"/>
      <c r="M1444" s="284"/>
      <c r="N1444" s="284"/>
      <c r="O1444" s="284"/>
      <c r="P1444" s="284"/>
      <c r="Q1444" s="284"/>
      <c r="R1444" s="284"/>
      <c r="S1444" s="284"/>
      <c r="T1444" s="284"/>
      <c r="U1444" s="284"/>
      <c r="V1444" s="284"/>
      <c r="W1444" s="284"/>
    </row>
    <row r="1445" spans="2:23" x14ac:dyDescent="0.25">
      <c r="B1445" s="286">
        <v>101</v>
      </c>
      <c r="C1445" s="286">
        <v>110</v>
      </c>
      <c r="D1445" s="286">
        <v>101</v>
      </c>
      <c r="E1445" s="286">
        <v>110</v>
      </c>
      <c r="F1445" s="286">
        <f t="shared" si="152"/>
        <v>10</v>
      </c>
      <c r="G1445" s="284">
        <v>3</v>
      </c>
      <c r="H1445" s="286"/>
      <c r="I1445" s="284"/>
      <c r="J1445" s="284"/>
      <c r="K1445" s="284"/>
      <c r="L1445" s="284"/>
      <c r="M1445" s="284"/>
      <c r="N1445" s="284"/>
      <c r="O1445" s="284"/>
      <c r="P1445" s="284"/>
      <c r="Q1445" s="284"/>
      <c r="R1445" s="284"/>
      <c r="S1445" s="284"/>
      <c r="T1445" s="284"/>
      <c r="U1445" s="284"/>
      <c r="V1445" s="284"/>
      <c r="W1445" s="284"/>
    </row>
    <row r="1446" spans="2:23" x14ac:dyDescent="0.25">
      <c r="B1446" s="286">
        <v>111</v>
      </c>
      <c r="C1446" s="286">
        <v>120</v>
      </c>
      <c r="D1446" s="286">
        <v>111</v>
      </c>
      <c r="E1446" s="286">
        <v>114</v>
      </c>
      <c r="F1446" s="286">
        <f t="shared" si="152"/>
        <v>4</v>
      </c>
      <c r="G1446" s="284">
        <v>3</v>
      </c>
      <c r="H1446" s="286"/>
      <c r="I1446" s="284"/>
      <c r="J1446" s="284"/>
      <c r="K1446" s="284"/>
      <c r="L1446" s="284"/>
      <c r="M1446" s="284"/>
      <c r="N1446" s="284"/>
      <c r="O1446" s="284"/>
      <c r="P1446" s="284"/>
      <c r="Q1446" s="284"/>
      <c r="R1446" s="284"/>
      <c r="S1446" s="284"/>
      <c r="T1446" s="284"/>
      <c r="U1446" s="284"/>
      <c r="V1446" s="284"/>
      <c r="W1446" s="284"/>
    </row>
    <row r="1447" spans="2:23" x14ac:dyDescent="0.25">
      <c r="B1447" s="284"/>
      <c r="C1447" s="284"/>
      <c r="D1447" s="284"/>
      <c r="E1447" s="284"/>
      <c r="F1447" s="284"/>
      <c r="G1447" s="284"/>
      <c r="H1447" s="284"/>
      <c r="I1447" s="284"/>
      <c r="J1447" s="284"/>
      <c r="K1447" s="284"/>
      <c r="L1447" s="284"/>
      <c r="M1447" s="284"/>
      <c r="N1447" s="284"/>
      <c r="O1447" s="284"/>
      <c r="P1447" s="284"/>
      <c r="Q1447" s="284"/>
      <c r="R1447" s="284"/>
      <c r="S1447" s="284"/>
      <c r="T1447" s="284"/>
      <c r="U1447" s="284"/>
      <c r="V1447" s="284"/>
      <c r="W1447" s="284"/>
    </row>
    <row r="1448" spans="2:23" x14ac:dyDescent="0.25">
      <c r="B1448" s="386" t="s">
        <v>332</v>
      </c>
      <c r="C1448" s="386"/>
      <c r="D1448" s="386"/>
      <c r="E1448" s="386"/>
      <c r="F1448" s="386"/>
      <c r="G1448" s="286"/>
      <c r="H1448" s="286"/>
      <c r="I1448" s="284"/>
      <c r="J1448" s="284"/>
      <c r="K1448" s="284"/>
      <c r="L1448" s="284"/>
      <c r="M1448" s="284"/>
      <c r="N1448" s="284"/>
      <c r="O1448" s="284"/>
      <c r="P1448" s="284"/>
      <c r="Q1448" s="284"/>
      <c r="R1448" s="284"/>
      <c r="S1448" s="284"/>
      <c r="T1448" s="284"/>
      <c r="U1448" s="284"/>
      <c r="V1448" s="284"/>
      <c r="W1448" s="284"/>
    </row>
    <row r="1449" spans="2:23" x14ac:dyDescent="0.25">
      <c r="B1449" s="386" t="s">
        <v>254</v>
      </c>
      <c r="C1449" s="386"/>
      <c r="D1449" s="386" t="s">
        <v>254</v>
      </c>
      <c r="E1449" s="386"/>
      <c r="F1449" s="192" t="s">
        <v>313</v>
      </c>
      <c r="G1449" s="286" t="s">
        <v>314</v>
      </c>
      <c r="H1449" s="286" t="s">
        <v>316</v>
      </c>
      <c r="I1449" s="284"/>
      <c r="J1449" s="284"/>
      <c r="K1449" s="284"/>
      <c r="L1449" s="284"/>
      <c r="M1449" s="284"/>
      <c r="N1449" s="284"/>
      <c r="O1449" s="284"/>
      <c r="P1449" s="284"/>
      <c r="Q1449" s="284"/>
      <c r="R1449" s="284"/>
      <c r="S1449" s="284"/>
      <c r="T1449" s="284"/>
      <c r="U1449" s="284"/>
      <c r="V1449" s="284"/>
      <c r="W1449" s="284"/>
    </row>
    <row r="1450" spans="2:23" x14ac:dyDescent="0.25">
      <c r="B1450" s="286">
        <v>0</v>
      </c>
      <c r="C1450" s="286">
        <v>10</v>
      </c>
      <c r="D1450" s="286"/>
      <c r="E1450" s="286"/>
      <c r="F1450" s="286">
        <v>0</v>
      </c>
      <c r="G1450" s="284">
        <v>1.5</v>
      </c>
      <c r="H1450" s="286">
        <f>(F1450*G1450+F1451*G1451+F1452*G1452+F1453*G1453+F1454*G1454+F1455*G1455+F1456*G1456)/100</f>
        <v>2.77</v>
      </c>
      <c r="I1450" s="284"/>
      <c r="J1450" s="284"/>
      <c r="K1450" s="284"/>
      <c r="L1450" s="284"/>
      <c r="M1450" s="284"/>
      <c r="N1450" s="284"/>
      <c r="O1450" s="284"/>
      <c r="P1450" s="284"/>
      <c r="Q1450" s="284"/>
      <c r="R1450" s="284"/>
      <c r="S1450" s="284"/>
      <c r="T1450" s="284"/>
      <c r="U1450" s="284"/>
      <c r="V1450" s="284"/>
      <c r="W1450" s="284"/>
    </row>
    <row r="1451" spans="2:23" x14ac:dyDescent="0.25">
      <c r="B1451" s="286">
        <v>11</v>
      </c>
      <c r="C1451" s="286">
        <v>25</v>
      </c>
      <c r="D1451" s="286">
        <v>15</v>
      </c>
      <c r="E1451" s="286">
        <v>25</v>
      </c>
      <c r="F1451" s="286">
        <f t="shared" ref="F1451:F1456" si="153">E1451-D1451+1</f>
        <v>11</v>
      </c>
      <c r="G1451" s="284">
        <v>2</v>
      </c>
      <c r="H1451" s="286"/>
      <c r="I1451" s="284"/>
      <c r="J1451" s="284"/>
      <c r="K1451" s="284"/>
      <c r="L1451" s="284"/>
      <c r="M1451" s="284"/>
      <c r="N1451" s="284"/>
      <c r="O1451" s="284"/>
      <c r="P1451" s="284"/>
      <c r="Q1451" s="284"/>
      <c r="R1451" s="284"/>
      <c r="S1451" s="284"/>
      <c r="T1451" s="284"/>
      <c r="U1451" s="284"/>
      <c r="V1451" s="284"/>
      <c r="W1451" s="284"/>
    </row>
    <row r="1452" spans="2:23" x14ac:dyDescent="0.25">
      <c r="B1452" s="286">
        <v>26</v>
      </c>
      <c r="C1452" s="286">
        <v>55</v>
      </c>
      <c r="D1452" s="286">
        <v>26</v>
      </c>
      <c r="E1452" s="286">
        <v>55</v>
      </c>
      <c r="F1452" s="286">
        <f t="shared" si="153"/>
        <v>30</v>
      </c>
      <c r="G1452" s="284">
        <v>2.5</v>
      </c>
      <c r="H1452" s="286"/>
      <c r="I1452" s="284"/>
      <c r="J1452" s="284"/>
      <c r="K1452" s="284"/>
      <c r="L1452" s="284"/>
      <c r="M1452" s="284"/>
      <c r="N1452" s="284"/>
      <c r="O1452" s="284"/>
      <c r="P1452" s="284"/>
      <c r="Q1452" s="284"/>
      <c r="R1452" s="284"/>
      <c r="S1452" s="284"/>
      <c r="T1452" s="284"/>
      <c r="U1452" s="284"/>
      <c r="V1452" s="284"/>
      <c r="W1452" s="284"/>
    </row>
    <row r="1453" spans="2:23" x14ac:dyDescent="0.25">
      <c r="B1453" s="286">
        <v>56</v>
      </c>
      <c r="C1453" s="286">
        <v>85</v>
      </c>
      <c r="D1453" s="286">
        <v>56</v>
      </c>
      <c r="E1453" s="286">
        <v>85</v>
      </c>
      <c r="F1453" s="286">
        <f t="shared" si="153"/>
        <v>30</v>
      </c>
      <c r="G1453" s="284">
        <v>3</v>
      </c>
      <c r="H1453" s="286"/>
      <c r="I1453" s="284"/>
      <c r="J1453" s="284"/>
      <c r="K1453" s="284"/>
      <c r="L1453" s="284"/>
      <c r="M1453" s="284"/>
      <c r="N1453" s="284"/>
      <c r="O1453" s="284"/>
      <c r="P1453" s="284"/>
      <c r="Q1453" s="284"/>
      <c r="R1453" s="284"/>
      <c r="S1453" s="284"/>
      <c r="T1453" s="284"/>
      <c r="U1453" s="284"/>
      <c r="V1453" s="284"/>
      <c r="W1453" s="284"/>
    </row>
    <row r="1454" spans="2:23" x14ac:dyDescent="0.25">
      <c r="B1454" s="286">
        <v>86</v>
      </c>
      <c r="C1454" s="286">
        <v>100</v>
      </c>
      <c r="D1454" s="286">
        <v>86</v>
      </c>
      <c r="E1454" s="286">
        <v>100</v>
      </c>
      <c r="F1454" s="286">
        <f t="shared" si="153"/>
        <v>15</v>
      </c>
      <c r="G1454" s="284">
        <v>3</v>
      </c>
      <c r="H1454" s="286"/>
      <c r="I1454" s="284"/>
      <c r="J1454" s="284"/>
      <c r="K1454" s="284"/>
      <c r="L1454" s="284"/>
      <c r="M1454" s="284"/>
      <c r="N1454" s="284"/>
      <c r="O1454" s="284"/>
      <c r="P1454" s="284"/>
      <c r="Q1454" s="284"/>
      <c r="R1454" s="284"/>
      <c r="S1454" s="284"/>
      <c r="T1454" s="284"/>
      <c r="U1454" s="284"/>
      <c r="V1454" s="284"/>
      <c r="W1454" s="284"/>
    </row>
    <row r="1455" spans="2:23" x14ac:dyDescent="0.25">
      <c r="B1455" s="286">
        <v>101</v>
      </c>
      <c r="C1455" s="286">
        <v>110</v>
      </c>
      <c r="D1455" s="286">
        <v>101</v>
      </c>
      <c r="E1455" s="286">
        <v>110</v>
      </c>
      <c r="F1455" s="286">
        <f t="shared" si="153"/>
        <v>10</v>
      </c>
      <c r="G1455" s="284">
        <v>3</v>
      </c>
      <c r="H1455" s="286"/>
      <c r="I1455" s="284"/>
      <c r="J1455" s="284"/>
      <c r="K1455" s="284"/>
      <c r="L1455" s="284"/>
      <c r="M1455" s="284"/>
      <c r="N1455" s="284"/>
      <c r="O1455" s="284"/>
      <c r="P1455" s="284"/>
      <c r="Q1455" s="284"/>
      <c r="R1455" s="284"/>
      <c r="S1455" s="284"/>
      <c r="T1455" s="284"/>
      <c r="U1455" s="284"/>
      <c r="V1455" s="284"/>
      <c r="W1455" s="284"/>
    </row>
    <row r="1456" spans="2:23" x14ac:dyDescent="0.25">
      <c r="B1456" s="286">
        <v>111</v>
      </c>
      <c r="C1456" s="286">
        <v>120</v>
      </c>
      <c r="D1456" s="286">
        <v>111</v>
      </c>
      <c r="E1456" s="286">
        <v>115</v>
      </c>
      <c r="F1456" s="286">
        <f t="shared" si="153"/>
        <v>5</v>
      </c>
      <c r="G1456" s="284">
        <v>3</v>
      </c>
      <c r="H1456" s="286"/>
      <c r="I1456" s="284"/>
      <c r="J1456" s="284"/>
      <c r="K1456" s="284"/>
      <c r="L1456" s="284"/>
      <c r="M1456" s="284"/>
      <c r="N1456" s="284"/>
      <c r="O1456" s="284"/>
      <c r="P1456" s="284"/>
      <c r="Q1456" s="284"/>
      <c r="R1456" s="284"/>
      <c r="S1456" s="284"/>
      <c r="T1456" s="284"/>
      <c r="U1456" s="284"/>
      <c r="V1456" s="284"/>
      <c r="W1456" s="284"/>
    </row>
    <row r="1457" spans="2:23" x14ac:dyDescent="0.25">
      <c r="B1457" s="284"/>
      <c r="C1457" s="284"/>
      <c r="D1457" s="284"/>
      <c r="E1457" s="284"/>
      <c r="F1457" s="284"/>
      <c r="G1457" s="284"/>
      <c r="H1457" s="284"/>
      <c r="I1457" s="284"/>
      <c r="J1457" s="284"/>
      <c r="K1457" s="284"/>
      <c r="L1457" s="284"/>
      <c r="M1457" s="284"/>
      <c r="N1457" s="284"/>
      <c r="O1457" s="284"/>
      <c r="P1457" s="284"/>
      <c r="Q1457" s="284"/>
      <c r="R1457" s="284"/>
      <c r="S1457" s="284"/>
      <c r="T1457" s="284"/>
      <c r="U1457" s="284"/>
      <c r="V1457" s="284"/>
      <c r="W1457" s="284"/>
    </row>
    <row r="1458" spans="2:23" x14ac:dyDescent="0.25">
      <c r="B1458" s="386" t="s">
        <v>333</v>
      </c>
      <c r="C1458" s="386"/>
      <c r="D1458" s="386"/>
      <c r="E1458" s="386"/>
      <c r="F1458" s="386"/>
      <c r="G1458" s="286"/>
      <c r="H1458" s="286"/>
      <c r="I1458" s="284"/>
      <c r="J1458" s="284"/>
      <c r="K1458" s="284"/>
      <c r="L1458" s="284"/>
      <c r="M1458" s="284"/>
      <c r="N1458" s="284"/>
      <c r="O1458" s="284"/>
      <c r="P1458" s="284"/>
      <c r="Q1458" s="284"/>
      <c r="R1458" s="284"/>
      <c r="S1458" s="284"/>
      <c r="T1458" s="284"/>
      <c r="U1458" s="284"/>
      <c r="V1458" s="284"/>
      <c r="W1458" s="284"/>
    </row>
    <row r="1459" spans="2:23" x14ac:dyDescent="0.25">
      <c r="B1459" s="386" t="s">
        <v>254</v>
      </c>
      <c r="C1459" s="386"/>
      <c r="D1459" s="386" t="s">
        <v>254</v>
      </c>
      <c r="E1459" s="386"/>
      <c r="F1459" s="192" t="s">
        <v>313</v>
      </c>
      <c r="G1459" s="286" t="s">
        <v>314</v>
      </c>
      <c r="H1459" s="286" t="s">
        <v>316</v>
      </c>
      <c r="I1459" s="284"/>
      <c r="J1459" s="284"/>
      <c r="K1459" s="284"/>
      <c r="L1459" s="284"/>
      <c r="M1459" s="284"/>
      <c r="N1459" s="284"/>
      <c r="O1459" s="284"/>
      <c r="P1459" s="284"/>
      <c r="Q1459" s="284"/>
      <c r="R1459" s="284"/>
      <c r="S1459" s="284"/>
      <c r="T1459" s="284"/>
      <c r="U1459" s="284"/>
      <c r="V1459" s="284"/>
      <c r="W1459" s="284"/>
    </row>
    <row r="1460" spans="2:23" x14ac:dyDescent="0.25">
      <c r="B1460" s="286">
        <v>0</v>
      </c>
      <c r="C1460" s="286">
        <v>10</v>
      </c>
      <c r="D1460" s="286"/>
      <c r="E1460" s="286"/>
      <c r="F1460" s="286">
        <v>0</v>
      </c>
      <c r="G1460" s="284">
        <v>1.5</v>
      </c>
      <c r="H1460" s="286">
        <f>(F1460*G1460+F1461*G1461+F1462*G1462+F1463*G1463+F1464*G1464+F1465*G1465+F1466*G1466)/100</f>
        <v>2.78</v>
      </c>
      <c r="I1460" s="284"/>
      <c r="J1460" s="284"/>
      <c r="K1460" s="284"/>
      <c r="L1460" s="284"/>
      <c r="M1460" s="284"/>
      <c r="N1460" s="284"/>
      <c r="O1460" s="284"/>
      <c r="P1460" s="284"/>
      <c r="Q1460" s="284"/>
      <c r="R1460" s="284"/>
      <c r="S1460" s="284"/>
      <c r="T1460" s="284"/>
      <c r="U1460" s="284"/>
      <c r="V1460" s="284"/>
      <c r="W1460" s="284"/>
    </row>
    <row r="1461" spans="2:23" x14ac:dyDescent="0.25">
      <c r="B1461" s="286">
        <v>11</v>
      </c>
      <c r="C1461" s="286">
        <v>25</v>
      </c>
      <c r="D1461" s="286">
        <v>16</v>
      </c>
      <c r="E1461" s="286">
        <v>25</v>
      </c>
      <c r="F1461" s="286">
        <f t="shared" ref="F1461:F1466" si="154">E1461-D1461+1</f>
        <v>10</v>
      </c>
      <c r="G1461" s="284">
        <v>2</v>
      </c>
      <c r="H1461" s="286"/>
      <c r="I1461" s="284"/>
      <c r="J1461" s="284"/>
      <c r="K1461" s="284"/>
      <c r="L1461" s="284"/>
      <c r="M1461" s="284"/>
      <c r="N1461" s="284"/>
      <c r="O1461" s="284"/>
      <c r="P1461" s="284"/>
      <c r="Q1461" s="284"/>
      <c r="R1461" s="284"/>
      <c r="S1461" s="284"/>
      <c r="T1461" s="284"/>
      <c r="U1461" s="284"/>
      <c r="V1461" s="284"/>
      <c r="W1461" s="284"/>
    </row>
    <row r="1462" spans="2:23" x14ac:dyDescent="0.25">
      <c r="B1462" s="286">
        <v>26</v>
      </c>
      <c r="C1462" s="286">
        <v>55</v>
      </c>
      <c r="D1462" s="286">
        <v>26</v>
      </c>
      <c r="E1462" s="286">
        <v>55</v>
      </c>
      <c r="F1462" s="286">
        <f t="shared" si="154"/>
        <v>30</v>
      </c>
      <c r="G1462" s="284">
        <v>2.5</v>
      </c>
      <c r="H1462" s="286"/>
      <c r="I1462" s="284"/>
      <c r="J1462" s="284"/>
      <c r="K1462" s="284"/>
      <c r="L1462" s="284"/>
      <c r="M1462" s="284"/>
      <c r="N1462" s="284"/>
      <c r="O1462" s="284"/>
      <c r="P1462" s="284"/>
      <c r="Q1462" s="284"/>
      <c r="R1462" s="284"/>
      <c r="S1462" s="284"/>
      <c r="T1462" s="284"/>
      <c r="U1462" s="284"/>
      <c r="V1462" s="284"/>
      <c r="W1462" s="284"/>
    </row>
    <row r="1463" spans="2:23" x14ac:dyDescent="0.25">
      <c r="B1463" s="286">
        <v>56</v>
      </c>
      <c r="C1463" s="286">
        <v>85</v>
      </c>
      <c r="D1463" s="286">
        <v>56</v>
      </c>
      <c r="E1463" s="286">
        <v>85</v>
      </c>
      <c r="F1463" s="286">
        <f t="shared" si="154"/>
        <v>30</v>
      </c>
      <c r="G1463" s="284">
        <v>3</v>
      </c>
      <c r="H1463" s="286"/>
      <c r="I1463" s="284"/>
      <c r="J1463" s="284"/>
      <c r="K1463" s="284"/>
      <c r="L1463" s="284"/>
      <c r="M1463" s="284"/>
      <c r="N1463" s="284"/>
      <c r="O1463" s="284"/>
      <c r="P1463" s="284"/>
      <c r="Q1463" s="284"/>
      <c r="R1463" s="284"/>
      <c r="S1463" s="284"/>
      <c r="T1463" s="284"/>
      <c r="U1463" s="284"/>
      <c r="V1463" s="284"/>
      <c r="W1463" s="284"/>
    </row>
    <row r="1464" spans="2:23" x14ac:dyDescent="0.25">
      <c r="B1464" s="286">
        <v>86</v>
      </c>
      <c r="C1464" s="286">
        <v>100</v>
      </c>
      <c r="D1464" s="286">
        <v>86</v>
      </c>
      <c r="E1464" s="286">
        <v>100</v>
      </c>
      <c r="F1464" s="286">
        <f t="shared" si="154"/>
        <v>15</v>
      </c>
      <c r="G1464" s="284">
        <v>3</v>
      </c>
      <c r="H1464" s="286"/>
      <c r="I1464" s="284"/>
      <c r="J1464" s="284"/>
      <c r="K1464" s="284"/>
      <c r="L1464" s="284"/>
      <c r="M1464" s="284"/>
      <c r="N1464" s="284"/>
      <c r="O1464" s="284"/>
      <c r="P1464" s="284"/>
      <c r="Q1464" s="284"/>
      <c r="R1464" s="284"/>
      <c r="S1464" s="284"/>
      <c r="T1464" s="284"/>
      <c r="U1464" s="284"/>
      <c r="V1464" s="284"/>
      <c r="W1464" s="284"/>
    </row>
    <row r="1465" spans="2:23" x14ac:dyDescent="0.25">
      <c r="B1465" s="286">
        <v>101</v>
      </c>
      <c r="C1465" s="286">
        <v>110</v>
      </c>
      <c r="D1465" s="286">
        <v>101</v>
      </c>
      <c r="E1465" s="286">
        <v>110</v>
      </c>
      <c r="F1465" s="286">
        <f t="shared" si="154"/>
        <v>10</v>
      </c>
      <c r="G1465" s="284">
        <v>3</v>
      </c>
      <c r="H1465" s="286"/>
      <c r="I1465" s="284"/>
      <c r="J1465" s="284"/>
      <c r="K1465" s="284"/>
      <c r="L1465" s="284"/>
      <c r="M1465" s="284"/>
      <c r="N1465" s="284"/>
      <c r="O1465" s="284"/>
      <c r="P1465" s="284"/>
      <c r="Q1465" s="284"/>
      <c r="R1465" s="284"/>
      <c r="S1465" s="284"/>
      <c r="T1465" s="284"/>
      <c r="U1465" s="284"/>
      <c r="V1465" s="284"/>
      <c r="W1465" s="284"/>
    </row>
    <row r="1466" spans="2:23" x14ac:dyDescent="0.25">
      <c r="B1466" s="286">
        <v>111</v>
      </c>
      <c r="C1466" s="286">
        <v>120</v>
      </c>
      <c r="D1466" s="286">
        <v>111</v>
      </c>
      <c r="E1466" s="286">
        <v>116</v>
      </c>
      <c r="F1466" s="286">
        <f t="shared" si="154"/>
        <v>6</v>
      </c>
      <c r="G1466" s="284">
        <v>3</v>
      </c>
      <c r="H1466" s="286"/>
      <c r="I1466" s="284"/>
      <c r="J1466" s="284"/>
      <c r="K1466" s="284"/>
      <c r="L1466" s="284"/>
      <c r="M1466" s="284"/>
      <c r="N1466" s="284"/>
      <c r="O1466" s="284"/>
      <c r="P1466" s="284"/>
      <c r="Q1466" s="284"/>
      <c r="R1466" s="284"/>
      <c r="S1466" s="284"/>
      <c r="T1466" s="284"/>
      <c r="U1466" s="284"/>
      <c r="V1466" s="284"/>
      <c r="W1466" s="284"/>
    </row>
    <row r="1467" spans="2:23" x14ac:dyDescent="0.25">
      <c r="B1467" s="284"/>
      <c r="C1467" s="284"/>
      <c r="D1467" s="284"/>
      <c r="E1467" s="284"/>
      <c r="F1467" s="284"/>
      <c r="G1467" s="284"/>
      <c r="H1467" s="284"/>
      <c r="I1467" s="284"/>
      <c r="J1467" s="284"/>
      <c r="K1467" s="284"/>
      <c r="L1467" s="284"/>
      <c r="M1467" s="284"/>
      <c r="N1467" s="284"/>
      <c r="O1467" s="284"/>
      <c r="P1467" s="284"/>
      <c r="Q1467" s="284"/>
      <c r="R1467" s="284"/>
      <c r="S1467" s="284"/>
      <c r="T1467" s="284"/>
      <c r="U1467" s="284"/>
      <c r="V1467" s="284"/>
      <c r="W1467" s="284"/>
    </row>
    <row r="1468" spans="2:23" x14ac:dyDescent="0.25">
      <c r="B1468" s="386" t="s">
        <v>334</v>
      </c>
      <c r="C1468" s="386"/>
      <c r="D1468" s="386"/>
      <c r="E1468" s="386"/>
      <c r="F1468" s="386"/>
      <c r="G1468" s="286"/>
      <c r="H1468" s="286"/>
      <c r="I1468" s="284"/>
      <c r="J1468" s="284"/>
      <c r="K1468" s="284"/>
      <c r="L1468" s="284"/>
      <c r="M1468" s="284"/>
      <c r="N1468" s="284"/>
      <c r="O1468" s="284"/>
      <c r="P1468" s="284"/>
      <c r="Q1468" s="284"/>
      <c r="R1468" s="284"/>
      <c r="S1468" s="284"/>
      <c r="T1468" s="284"/>
      <c r="U1468" s="284"/>
      <c r="V1468" s="284"/>
      <c r="W1468" s="284"/>
    </row>
    <row r="1469" spans="2:23" x14ac:dyDescent="0.25">
      <c r="B1469" s="386" t="s">
        <v>254</v>
      </c>
      <c r="C1469" s="386"/>
      <c r="D1469" s="386" t="s">
        <v>254</v>
      </c>
      <c r="E1469" s="386"/>
      <c r="F1469" s="192" t="s">
        <v>313</v>
      </c>
      <c r="G1469" s="286" t="s">
        <v>314</v>
      </c>
      <c r="H1469" s="286" t="s">
        <v>316</v>
      </c>
      <c r="I1469" s="284"/>
      <c r="J1469" s="284"/>
      <c r="K1469" s="284"/>
      <c r="L1469" s="284"/>
      <c r="M1469" s="284"/>
      <c r="N1469" s="284"/>
      <c r="O1469" s="284"/>
      <c r="P1469" s="284"/>
      <c r="Q1469" s="284"/>
      <c r="R1469" s="284"/>
      <c r="S1469" s="284"/>
      <c r="T1469" s="284"/>
      <c r="U1469" s="284"/>
      <c r="V1469" s="284"/>
      <c r="W1469" s="284"/>
    </row>
    <row r="1470" spans="2:23" x14ac:dyDescent="0.25">
      <c r="B1470" s="286">
        <v>0</v>
      </c>
      <c r="C1470" s="286">
        <v>10</v>
      </c>
      <c r="D1470" s="286"/>
      <c r="E1470" s="286"/>
      <c r="F1470" s="286">
        <v>0</v>
      </c>
      <c r="G1470" s="284">
        <v>1.5</v>
      </c>
      <c r="H1470" s="286">
        <f>(F1470*G1470+F1471*G1471+F1472*G1472+F1473*G1473+F1474*G1474+F1475*G1475+F1476*G1476)/100</f>
        <v>2.79</v>
      </c>
      <c r="I1470" s="284"/>
      <c r="J1470" s="284"/>
      <c r="K1470" s="284"/>
      <c r="L1470" s="284"/>
      <c r="M1470" s="284"/>
      <c r="N1470" s="284"/>
      <c r="O1470" s="284"/>
      <c r="P1470" s="284"/>
      <c r="Q1470" s="284"/>
      <c r="R1470" s="284"/>
      <c r="S1470" s="284"/>
      <c r="T1470" s="284"/>
      <c r="U1470" s="284"/>
      <c r="V1470" s="284"/>
      <c r="W1470" s="284"/>
    </row>
    <row r="1471" spans="2:23" x14ac:dyDescent="0.25">
      <c r="B1471" s="286">
        <v>11</v>
      </c>
      <c r="C1471" s="286">
        <v>25</v>
      </c>
      <c r="D1471" s="286">
        <v>17</v>
      </c>
      <c r="E1471" s="286">
        <v>25</v>
      </c>
      <c r="F1471" s="286">
        <f t="shared" ref="F1471:F1476" si="155">E1471-D1471+1</f>
        <v>9</v>
      </c>
      <c r="G1471" s="284">
        <v>2</v>
      </c>
      <c r="H1471" s="286"/>
      <c r="I1471" s="284"/>
      <c r="J1471" s="284"/>
      <c r="K1471" s="284"/>
      <c r="L1471" s="284"/>
      <c r="M1471" s="284"/>
      <c r="N1471" s="284"/>
      <c r="O1471" s="284"/>
      <c r="P1471" s="284"/>
      <c r="Q1471" s="284"/>
      <c r="R1471" s="284"/>
      <c r="S1471" s="284"/>
      <c r="T1471" s="284"/>
      <c r="U1471" s="284"/>
      <c r="V1471" s="284"/>
      <c r="W1471" s="284"/>
    </row>
    <row r="1472" spans="2:23" x14ac:dyDescent="0.25">
      <c r="B1472" s="286">
        <v>26</v>
      </c>
      <c r="C1472" s="286">
        <v>55</v>
      </c>
      <c r="D1472" s="286">
        <v>26</v>
      </c>
      <c r="E1472" s="286">
        <v>55</v>
      </c>
      <c r="F1472" s="286">
        <f t="shared" si="155"/>
        <v>30</v>
      </c>
      <c r="G1472" s="284">
        <v>2.5</v>
      </c>
      <c r="H1472" s="286"/>
      <c r="I1472" s="284"/>
      <c r="J1472" s="284"/>
      <c r="K1472" s="284"/>
      <c r="L1472" s="284"/>
      <c r="M1472" s="284"/>
      <c r="N1472" s="284"/>
      <c r="O1472" s="284"/>
      <c r="P1472" s="284"/>
      <c r="Q1472" s="284"/>
      <c r="R1472" s="284"/>
      <c r="S1472" s="284"/>
      <c r="T1472" s="284"/>
      <c r="U1472" s="284"/>
      <c r="V1472" s="284"/>
      <c r="W1472" s="284"/>
    </row>
    <row r="1473" spans="2:23" x14ac:dyDescent="0.25">
      <c r="B1473" s="286">
        <v>56</v>
      </c>
      <c r="C1473" s="286">
        <v>85</v>
      </c>
      <c r="D1473" s="286">
        <v>56</v>
      </c>
      <c r="E1473" s="286">
        <v>85</v>
      </c>
      <c r="F1473" s="286">
        <f t="shared" si="155"/>
        <v>30</v>
      </c>
      <c r="G1473" s="284">
        <v>3</v>
      </c>
      <c r="H1473" s="286"/>
      <c r="I1473" s="284"/>
      <c r="J1473" s="284"/>
      <c r="K1473" s="284"/>
      <c r="L1473" s="284"/>
      <c r="M1473" s="284"/>
      <c r="N1473" s="284"/>
      <c r="O1473" s="284"/>
      <c r="P1473" s="284"/>
      <c r="Q1473" s="284"/>
      <c r="R1473" s="284"/>
      <c r="S1473" s="284"/>
      <c r="T1473" s="284"/>
      <c r="U1473" s="284"/>
      <c r="V1473" s="284"/>
      <c r="W1473" s="284"/>
    </row>
    <row r="1474" spans="2:23" x14ac:dyDescent="0.25">
      <c r="B1474" s="286">
        <v>86</v>
      </c>
      <c r="C1474" s="286">
        <v>100</v>
      </c>
      <c r="D1474" s="286">
        <v>86</v>
      </c>
      <c r="E1474" s="286">
        <v>100</v>
      </c>
      <c r="F1474" s="286">
        <f t="shared" si="155"/>
        <v>15</v>
      </c>
      <c r="G1474" s="284">
        <v>3</v>
      </c>
      <c r="H1474" s="286"/>
      <c r="I1474" s="284"/>
      <c r="J1474" s="284"/>
      <c r="K1474" s="284"/>
      <c r="L1474" s="284"/>
      <c r="M1474" s="284"/>
      <c r="N1474" s="284"/>
      <c r="O1474" s="284"/>
      <c r="P1474" s="284"/>
      <c r="Q1474" s="284"/>
      <c r="R1474" s="284"/>
      <c r="S1474" s="284"/>
      <c r="T1474" s="284"/>
      <c r="U1474" s="284"/>
      <c r="V1474" s="284"/>
      <c r="W1474" s="284"/>
    </row>
    <row r="1475" spans="2:23" x14ac:dyDescent="0.25">
      <c r="B1475" s="286">
        <v>101</v>
      </c>
      <c r="C1475" s="286">
        <v>110</v>
      </c>
      <c r="D1475" s="286">
        <v>101</v>
      </c>
      <c r="E1475" s="286">
        <v>110</v>
      </c>
      <c r="F1475" s="286">
        <f t="shared" si="155"/>
        <v>10</v>
      </c>
      <c r="G1475" s="284">
        <v>3</v>
      </c>
      <c r="H1475" s="286"/>
      <c r="I1475" s="284"/>
      <c r="J1475" s="284"/>
      <c r="K1475" s="284"/>
      <c r="L1475" s="284"/>
      <c r="M1475" s="284"/>
      <c r="N1475" s="284"/>
      <c r="O1475" s="284"/>
      <c r="P1475" s="284"/>
      <c r="Q1475" s="284"/>
      <c r="R1475" s="284"/>
      <c r="S1475" s="284"/>
      <c r="T1475" s="284"/>
      <c r="U1475" s="284"/>
      <c r="V1475" s="284"/>
      <c r="W1475" s="284"/>
    </row>
    <row r="1476" spans="2:23" x14ac:dyDescent="0.25">
      <c r="B1476" s="286">
        <v>111</v>
      </c>
      <c r="C1476" s="286">
        <v>120</v>
      </c>
      <c r="D1476" s="286">
        <v>111</v>
      </c>
      <c r="E1476" s="286">
        <v>117</v>
      </c>
      <c r="F1476" s="286">
        <f t="shared" si="155"/>
        <v>7</v>
      </c>
      <c r="G1476" s="284">
        <v>3</v>
      </c>
      <c r="H1476" s="286"/>
      <c r="I1476" s="284"/>
      <c r="J1476" s="284"/>
      <c r="K1476" s="284"/>
      <c r="L1476" s="284"/>
      <c r="M1476" s="284"/>
      <c r="N1476" s="284"/>
      <c r="O1476" s="284"/>
      <c r="P1476" s="284"/>
      <c r="Q1476" s="284"/>
      <c r="R1476" s="284"/>
      <c r="S1476" s="284"/>
      <c r="T1476" s="284"/>
      <c r="U1476" s="284"/>
      <c r="V1476" s="284"/>
      <c r="W1476" s="284"/>
    </row>
    <row r="1477" spans="2:23" x14ac:dyDescent="0.25">
      <c r="B1477" s="284"/>
      <c r="C1477" s="284"/>
      <c r="D1477" s="284"/>
      <c r="E1477" s="284"/>
      <c r="F1477" s="284"/>
      <c r="G1477" s="284"/>
      <c r="H1477" s="284"/>
      <c r="I1477" s="284"/>
      <c r="J1477" s="284"/>
      <c r="K1477" s="284"/>
      <c r="L1477" s="284"/>
      <c r="M1477" s="284"/>
      <c r="N1477" s="284"/>
      <c r="O1477" s="284"/>
      <c r="P1477" s="284"/>
      <c r="Q1477" s="284"/>
      <c r="R1477" s="284"/>
      <c r="S1477" s="284"/>
      <c r="T1477" s="284"/>
      <c r="U1477" s="284"/>
      <c r="V1477" s="284"/>
      <c r="W1477" s="284"/>
    </row>
    <row r="1478" spans="2:23" x14ac:dyDescent="0.25">
      <c r="B1478" s="386" t="s">
        <v>335</v>
      </c>
      <c r="C1478" s="386"/>
      <c r="D1478" s="386"/>
      <c r="E1478" s="386"/>
      <c r="F1478" s="386"/>
      <c r="G1478" s="286"/>
      <c r="H1478" s="286"/>
      <c r="I1478" s="284"/>
      <c r="J1478" s="284"/>
      <c r="K1478" s="284"/>
      <c r="L1478" s="284"/>
      <c r="M1478" s="284"/>
      <c r="N1478" s="284"/>
      <c r="O1478" s="284"/>
      <c r="P1478" s="284"/>
      <c r="Q1478" s="284"/>
      <c r="R1478" s="284"/>
      <c r="S1478" s="284"/>
      <c r="T1478" s="284"/>
      <c r="U1478" s="284"/>
      <c r="V1478" s="284"/>
      <c r="W1478" s="284"/>
    </row>
    <row r="1479" spans="2:23" x14ac:dyDescent="0.25">
      <c r="B1479" s="386" t="s">
        <v>254</v>
      </c>
      <c r="C1479" s="386"/>
      <c r="D1479" s="386" t="s">
        <v>254</v>
      </c>
      <c r="E1479" s="386"/>
      <c r="F1479" s="192" t="s">
        <v>313</v>
      </c>
      <c r="G1479" s="286" t="s">
        <v>314</v>
      </c>
      <c r="H1479" s="286" t="s">
        <v>316</v>
      </c>
      <c r="I1479" s="284"/>
      <c r="J1479" s="284"/>
      <c r="K1479" s="284"/>
      <c r="L1479" s="284"/>
      <c r="M1479" s="284"/>
      <c r="N1479" s="284"/>
      <c r="O1479" s="284"/>
      <c r="P1479" s="284"/>
      <c r="Q1479" s="284"/>
      <c r="R1479" s="284"/>
      <c r="S1479" s="284"/>
      <c r="T1479" s="284"/>
      <c r="U1479" s="284"/>
      <c r="V1479" s="284"/>
      <c r="W1479" s="284"/>
    </row>
    <row r="1480" spans="2:23" x14ac:dyDescent="0.25">
      <c r="B1480" s="286">
        <v>0</v>
      </c>
      <c r="C1480" s="286">
        <v>10</v>
      </c>
      <c r="D1480" s="286"/>
      <c r="E1480" s="286"/>
      <c r="F1480" s="286">
        <v>0</v>
      </c>
      <c r="G1480" s="284">
        <v>1.5</v>
      </c>
      <c r="H1480" s="286">
        <f>(F1480*G1480+F1481*G1481+F1482*G1482+F1483*G1483+F1484*G1484+F1485*G1485+F1486*G1486)/100</f>
        <v>2.8</v>
      </c>
      <c r="I1480" s="284"/>
      <c r="J1480" s="284"/>
      <c r="K1480" s="284"/>
      <c r="L1480" s="284"/>
      <c r="M1480" s="284"/>
      <c r="N1480" s="284"/>
      <c r="O1480" s="284"/>
      <c r="P1480" s="284"/>
      <c r="Q1480" s="284"/>
      <c r="R1480" s="284"/>
      <c r="S1480" s="284"/>
      <c r="T1480" s="284"/>
      <c r="U1480" s="284"/>
      <c r="V1480" s="284"/>
      <c r="W1480" s="284"/>
    </row>
    <row r="1481" spans="2:23" x14ac:dyDescent="0.25">
      <c r="B1481" s="286">
        <v>11</v>
      </c>
      <c r="C1481" s="286">
        <v>25</v>
      </c>
      <c r="D1481" s="286">
        <v>18</v>
      </c>
      <c r="E1481" s="286">
        <v>25</v>
      </c>
      <c r="F1481" s="286">
        <f t="shared" ref="F1481:F1486" si="156">E1481-D1481+1</f>
        <v>8</v>
      </c>
      <c r="G1481" s="284">
        <v>2</v>
      </c>
      <c r="H1481" s="286"/>
      <c r="I1481" s="284"/>
      <c r="J1481" s="284"/>
      <c r="K1481" s="284"/>
      <c r="L1481" s="284"/>
      <c r="M1481" s="284"/>
      <c r="N1481" s="284"/>
      <c r="O1481" s="284"/>
      <c r="P1481" s="284"/>
      <c r="Q1481" s="284"/>
      <c r="R1481" s="284"/>
      <c r="S1481" s="284"/>
      <c r="T1481" s="284"/>
      <c r="U1481" s="284"/>
      <c r="V1481" s="284"/>
      <c r="W1481" s="284"/>
    </row>
    <row r="1482" spans="2:23" x14ac:dyDescent="0.25">
      <c r="B1482" s="286">
        <v>26</v>
      </c>
      <c r="C1482" s="286">
        <v>55</v>
      </c>
      <c r="D1482" s="286">
        <v>26</v>
      </c>
      <c r="E1482" s="286">
        <v>55</v>
      </c>
      <c r="F1482" s="286">
        <f t="shared" si="156"/>
        <v>30</v>
      </c>
      <c r="G1482" s="284">
        <v>2.5</v>
      </c>
      <c r="H1482" s="286"/>
      <c r="I1482" s="284"/>
      <c r="J1482" s="284"/>
      <c r="K1482" s="284"/>
      <c r="L1482" s="284"/>
      <c r="M1482" s="284"/>
      <c r="N1482" s="284"/>
      <c r="O1482" s="284"/>
      <c r="P1482" s="284"/>
      <c r="Q1482" s="284"/>
      <c r="R1482" s="284"/>
      <c r="S1482" s="284"/>
      <c r="T1482" s="284"/>
      <c r="U1482" s="284"/>
      <c r="V1482" s="284"/>
      <c r="W1482" s="284"/>
    </row>
    <row r="1483" spans="2:23" x14ac:dyDescent="0.25">
      <c r="B1483" s="286">
        <v>56</v>
      </c>
      <c r="C1483" s="286">
        <v>85</v>
      </c>
      <c r="D1483" s="286">
        <v>56</v>
      </c>
      <c r="E1483" s="286">
        <v>85</v>
      </c>
      <c r="F1483" s="286">
        <f t="shared" si="156"/>
        <v>30</v>
      </c>
      <c r="G1483" s="284">
        <v>3</v>
      </c>
      <c r="H1483" s="286"/>
      <c r="I1483" s="284"/>
      <c r="J1483" s="284"/>
      <c r="K1483" s="284"/>
      <c r="L1483" s="284"/>
      <c r="M1483" s="284"/>
      <c r="N1483" s="284"/>
      <c r="O1483" s="284"/>
      <c r="P1483" s="284"/>
      <c r="Q1483" s="284"/>
      <c r="R1483" s="284"/>
      <c r="S1483" s="284"/>
      <c r="T1483" s="284"/>
      <c r="U1483" s="284"/>
      <c r="V1483" s="284"/>
      <c r="W1483" s="284"/>
    </row>
    <row r="1484" spans="2:23" x14ac:dyDescent="0.25">
      <c r="B1484" s="286">
        <v>86</v>
      </c>
      <c r="C1484" s="286">
        <v>100</v>
      </c>
      <c r="D1484" s="286">
        <v>86</v>
      </c>
      <c r="E1484" s="286">
        <v>100</v>
      </c>
      <c r="F1484" s="286">
        <f t="shared" si="156"/>
        <v>15</v>
      </c>
      <c r="G1484" s="284">
        <v>3</v>
      </c>
      <c r="H1484" s="286"/>
      <c r="I1484" s="284"/>
      <c r="J1484" s="284"/>
      <c r="K1484" s="284"/>
      <c r="L1484" s="284"/>
      <c r="M1484" s="284"/>
      <c r="N1484" s="284"/>
      <c r="O1484" s="284"/>
      <c r="P1484" s="284"/>
      <c r="Q1484" s="284"/>
      <c r="R1484" s="284"/>
      <c r="S1484" s="284"/>
      <c r="T1484" s="284"/>
      <c r="U1484" s="284"/>
      <c r="V1484" s="284"/>
      <c r="W1484" s="284"/>
    </row>
    <row r="1485" spans="2:23" x14ac:dyDescent="0.25">
      <c r="B1485" s="286">
        <v>101</v>
      </c>
      <c r="C1485" s="286">
        <v>110</v>
      </c>
      <c r="D1485" s="286">
        <v>101</v>
      </c>
      <c r="E1485" s="286">
        <v>110</v>
      </c>
      <c r="F1485" s="286">
        <f t="shared" si="156"/>
        <v>10</v>
      </c>
      <c r="G1485" s="284">
        <v>3</v>
      </c>
      <c r="H1485" s="286"/>
      <c r="I1485" s="284"/>
      <c r="J1485" s="284"/>
      <c r="K1485" s="284"/>
      <c r="L1485" s="284"/>
      <c r="M1485" s="284"/>
      <c r="N1485" s="284"/>
      <c r="O1485" s="284"/>
      <c r="P1485" s="284"/>
      <c r="Q1485" s="284"/>
      <c r="R1485" s="284"/>
      <c r="S1485" s="284"/>
      <c r="T1485" s="284"/>
      <c r="U1485" s="284"/>
      <c r="V1485" s="284"/>
      <c r="W1485" s="284"/>
    </row>
    <row r="1486" spans="2:23" x14ac:dyDescent="0.25">
      <c r="B1486" s="286">
        <v>111</v>
      </c>
      <c r="C1486" s="286">
        <v>120</v>
      </c>
      <c r="D1486" s="286">
        <v>111</v>
      </c>
      <c r="E1486" s="286">
        <v>118</v>
      </c>
      <c r="F1486" s="286">
        <f t="shared" si="156"/>
        <v>8</v>
      </c>
      <c r="G1486" s="284">
        <v>3</v>
      </c>
      <c r="H1486" s="286"/>
      <c r="I1486" s="284"/>
      <c r="J1486" s="284"/>
      <c r="K1486" s="284"/>
      <c r="L1486" s="284"/>
      <c r="M1486" s="284"/>
      <c r="N1486" s="284"/>
      <c r="O1486" s="284"/>
      <c r="P1486" s="284"/>
      <c r="Q1486" s="284"/>
      <c r="R1486" s="284"/>
      <c r="S1486" s="284"/>
      <c r="T1486" s="284"/>
      <c r="U1486" s="284"/>
      <c r="V1486" s="284"/>
      <c r="W1486" s="284"/>
    </row>
    <row r="1487" spans="2:23" x14ac:dyDescent="0.25">
      <c r="B1487" s="284"/>
      <c r="C1487" s="284"/>
      <c r="D1487" s="284"/>
      <c r="E1487" s="284"/>
      <c r="F1487" s="284"/>
      <c r="G1487" s="284"/>
      <c r="H1487" s="284"/>
      <c r="I1487" s="284"/>
      <c r="J1487" s="284"/>
      <c r="K1487" s="284"/>
      <c r="L1487" s="284"/>
      <c r="M1487" s="284"/>
      <c r="N1487" s="284"/>
      <c r="O1487" s="284"/>
      <c r="P1487" s="284"/>
      <c r="Q1487" s="284"/>
      <c r="R1487" s="284"/>
      <c r="S1487" s="284"/>
      <c r="T1487" s="284"/>
      <c r="U1487" s="284"/>
      <c r="V1487" s="284"/>
      <c r="W1487" s="284"/>
    </row>
    <row r="1488" spans="2:23" x14ac:dyDescent="0.25">
      <c r="B1488" s="386" t="s">
        <v>336</v>
      </c>
      <c r="C1488" s="386"/>
      <c r="D1488" s="386"/>
      <c r="E1488" s="386"/>
      <c r="F1488" s="386"/>
      <c r="G1488" s="286"/>
      <c r="H1488" s="286"/>
      <c r="I1488" s="284"/>
      <c r="J1488" s="284"/>
      <c r="K1488" s="284"/>
      <c r="L1488" s="284"/>
      <c r="M1488" s="284"/>
      <c r="N1488" s="284"/>
      <c r="O1488" s="284"/>
      <c r="P1488" s="284"/>
      <c r="Q1488" s="284"/>
      <c r="R1488" s="284"/>
      <c r="S1488" s="284"/>
      <c r="T1488" s="284"/>
      <c r="U1488" s="284"/>
      <c r="V1488" s="284"/>
      <c r="W1488" s="284"/>
    </row>
    <row r="1489" spans="2:23" x14ac:dyDescent="0.25">
      <c r="B1489" s="386" t="s">
        <v>254</v>
      </c>
      <c r="C1489" s="386"/>
      <c r="D1489" s="386" t="s">
        <v>254</v>
      </c>
      <c r="E1489" s="386"/>
      <c r="F1489" s="192" t="s">
        <v>313</v>
      </c>
      <c r="G1489" s="286" t="s">
        <v>314</v>
      </c>
      <c r="H1489" s="286" t="s">
        <v>316</v>
      </c>
      <c r="I1489" s="284"/>
      <c r="J1489" s="284"/>
      <c r="K1489" s="284"/>
      <c r="L1489" s="284"/>
      <c r="M1489" s="284"/>
      <c r="N1489" s="284"/>
      <c r="O1489" s="284"/>
      <c r="P1489" s="284"/>
      <c r="Q1489" s="284"/>
      <c r="R1489" s="284"/>
      <c r="S1489" s="284"/>
      <c r="T1489" s="284"/>
      <c r="U1489" s="284"/>
      <c r="V1489" s="284"/>
      <c r="W1489" s="284"/>
    </row>
    <row r="1490" spans="2:23" x14ac:dyDescent="0.25">
      <c r="B1490" s="286">
        <v>0</v>
      </c>
      <c r="C1490" s="286">
        <v>10</v>
      </c>
      <c r="D1490" s="286"/>
      <c r="E1490" s="286"/>
      <c r="F1490" s="286">
        <v>0</v>
      </c>
      <c r="G1490" s="284">
        <v>1.5</v>
      </c>
      <c r="H1490" s="286">
        <f>(F1490*G1490+F1491*G1491+F1492*G1492+F1493*G1493+F1494*G1494+F1495*G1495+F1496*G1496)/100</f>
        <v>2.81</v>
      </c>
      <c r="I1490" s="284"/>
      <c r="J1490" s="284"/>
      <c r="K1490" s="284"/>
      <c r="L1490" s="284"/>
      <c r="M1490" s="284"/>
      <c r="N1490" s="284"/>
      <c r="O1490" s="284"/>
      <c r="P1490" s="284"/>
      <c r="Q1490" s="284"/>
      <c r="R1490" s="284"/>
      <c r="S1490" s="284"/>
      <c r="T1490" s="284"/>
      <c r="U1490" s="284"/>
      <c r="V1490" s="284"/>
      <c r="W1490" s="284"/>
    </row>
    <row r="1491" spans="2:23" x14ac:dyDescent="0.25">
      <c r="B1491" s="286">
        <v>11</v>
      </c>
      <c r="C1491" s="286">
        <v>25</v>
      </c>
      <c r="D1491" s="286">
        <v>19</v>
      </c>
      <c r="E1491" s="286">
        <v>25</v>
      </c>
      <c r="F1491" s="286">
        <f t="shared" ref="F1491:F1496" si="157">E1491-D1491+1</f>
        <v>7</v>
      </c>
      <c r="G1491" s="284">
        <v>2</v>
      </c>
      <c r="H1491" s="286"/>
      <c r="I1491" s="284"/>
      <c r="J1491" s="284"/>
      <c r="K1491" s="284"/>
      <c r="L1491" s="284"/>
      <c r="M1491" s="284"/>
      <c r="N1491" s="284"/>
      <c r="O1491" s="284"/>
      <c r="P1491" s="284"/>
      <c r="Q1491" s="284"/>
      <c r="R1491" s="284"/>
      <c r="S1491" s="284"/>
      <c r="T1491" s="284"/>
      <c r="U1491" s="284"/>
      <c r="V1491" s="284"/>
      <c r="W1491" s="284"/>
    </row>
    <row r="1492" spans="2:23" x14ac:dyDescent="0.25">
      <c r="B1492" s="286">
        <v>26</v>
      </c>
      <c r="C1492" s="286">
        <v>55</v>
      </c>
      <c r="D1492" s="286">
        <v>26</v>
      </c>
      <c r="E1492" s="286">
        <v>55</v>
      </c>
      <c r="F1492" s="286">
        <f t="shared" si="157"/>
        <v>30</v>
      </c>
      <c r="G1492" s="284">
        <v>2.5</v>
      </c>
      <c r="H1492" s="286"/>
      <c r="I1492" s="284"/>
      <c r="J1492" s="284"/>
      <c r="K1492" s="284"/>
      <c r="L1492" s="284"/>
      <c r="M1492" s="284"/>
      <c r="N1492" s="284"/>
      <c r="O1492" s="284"/>
      <c r="P1492" s="284"/>
      <c r="Q1492" s="284"/>
      <c r="R1492" s="284"/>
      <c r="S1492" s="284"/>
      <c r="T1492" s="284"/>
      <c r="U1492" s="284"/>
      <c r="V1492" s="284"/>
      <c r="W1492" s="284"/>
    </row>
    <row r="1493" spans="2:23" x14ac:dyDescent="0.25">
      <c r="B1493" s="286">
        <v>56</v>
      </c>
      <c r="C1493" s="286">
        <v>85</v>
      </c>
      <c r="D1493" s="286">
        <v>56</v>
      </c>
      <c r="E1493" s="286">
        <v>85</v>
      </c>
      <c r="F1493" s="286">
        <f t="shared" si="157"/>
        <v>30</v>
      </c>
      <c r="G1493" s="284">
        <v>3</v>
      </c>
      <c r="H1493" s="286"/>
      <c r="I1493" s="284"/>
      <c r="J1493" s="284"/>
      <c r="K1493" s="284"/>
      <c r="L1493" s="284"/>
      <c r="M1493" s="284"/>
      <c r="N1493" s="284"/>
      <c r="O1493" s="284"/>
      <c r="P1493" s="284"/>
      <c r="Q1493" s="284"/>
      <c r="R1493" s="284"/>
      <c r="S1493" s="284"/>
      <c r="T1493" s="284"/>
      <c r="U1493" s="284"/>
      <c r="V1493" s="284"/>
      <c r="W1493" s="284"/>
    </row>
    <row r="1494" spans="2:23" x14ac:dyDescent="0.25">
      <c r="B1494" s="286">
        <v>86</v>
      </c>
      <c r="C1494" s="286">
        <v>100</v>
      </c>
      <c r="D1494" s="286">
        <v>86</v>
      </c>
      <c r="E1494" s="286">
        <v>100</v>
      </c>
      <c r="F1494" s="286">
        <f t="shared" si="157"/>
        <v>15</v>
      </c>
      <c r="G1494" s="284">
        <v>3</v>
      </c>
      <c r="H1494" s="286"/>
      <c r="I1494" s="284"/>
      <c r="J1494" s="284"/>
      <c r="K1494" s="284"/>
      <c r="L1494" s="284"/>
      <c r="M1494" s="284"/>
      <c r="N1494" s="284"/>
      <c r="O1494" s="284"/>
      <c r="P1494" s="284"/>
      <c r="Q1494" s="284"/>
      <c r="R1494" s="284"/>
      <c r="S1494" s="284"/>
      <c r="T1494" s="284"/>
      <c r="U1494" s="284"/>
      <c r="V1494" s="284"/>
      <c r="W1494" s="284"/>
    </row>
    <row r="1495" spans="2:23" x14ac:dyDescent="0.25">
      <c r="B1495" s="286">
        <v>101</v>
      </c>
      <c r="C1495" s="286">
        <v>110</v>
      </c>
      <c r="D1495" s="286">
        <v>101</v>
      </c>
      <c r="E1495" s="286">
        <v>110</v>
      </c>
      <c r="F1495" s="286">
        <f t="shared" si="157"/>
        <v>10</v>
      </c>
      <c r="G1495" s="284">
        <v>3</v>
      </c>
      <c r="H1495" s="286"/>
      <c r="I1495" s="284"/>
      <c r="J1495" s="284"/>
      <c r="K1495" s="284"/>
      <c r="L1495" s="284"/>
      <c r="M1495" s="284"/>
      <c r="N1495" s="284"/>
      <c r="O1495" s="284"/>
      <c r="P1495" s="284"/>
      <c r="Q1495" s="284"/>
      <c r="R1495" s="284"/>
      <c r="S1495" s="284"/>
      <c r="T1495" s="284"/>
      <c r="U1495" s="284"/>
      <c r="V1495" s="284"/>
      <c r="W1495" s="284"/>
    </row>
    <row r="1496" spans="2:23" x14ac:dyDescent="0.25">
      <c r="B1496" s="286">
        <v>111</v>
      </c>
      <c r="C1496" s="286">
        <v>120</v>
      </c>
      <c r="D1496" s="286">
        <v>111</v>
      </c>
      <c r="E1496" s="286">
        <v>119</v>
      </c>
      <c r="F1496" s="286">
        <f t="shared" si="157"/>
        <v>9</v>
      </c>
      <c r="G1496" s="284">
        <v>3</v>
      </c>
      <c r="H1496" s="286"/>
      <c r="I1496" s="284"/>
      <c r="J1496" s="284"/>
      <c r="K1496" s="284"/>
      <c r="L1496" s="284"/>
      <c r="M1496" s="284"/>
      <c r="N1496" s="284"/>
      <c r="O1496" s="284"/>
      <c r="P1496" s="284"/>
      <c r="Q1496" s="284"/>
      <c r="R1496" s="284"/>
      <c r="S1496" s="284"/>
      <c r="T1496" s="284"/>
      <c r="U1496" s="284"/>
      <c r="V1496" s="284"/>
      <c r="W1496" s="284"/>
    </row>
    <row r="1497" spans="2:23" x14ac:dyDescent="0.25">
      <c r="B1497" s="284"/>
      <c r="C1497" s="284"/>
      <c r="D1497" s="284"/>
      <c r="E1497" s="284"/>
      <c r="F1497" s="284"/>
      <c r="G1497" s="284"/>
      <c r="H1497" s="284"/>
      <c r="I1497" s="284"/>
      <c r="J1497" s="284"/>
      <c r="K1497" s="284"/>
      <c r="L1497" s="284"/>
      <c r="M1497" s="284"/>
      <c r="N1497" s="284"/>
      <c r="O1497" s="284"/>
      <c r="P1497" s="284"/>
      <c r="Q1497" s="284"/>
      <c r="R1497" s="284"/>
      <c r="S1497" s="284"/>
      <c r="T1497" s="284"/>
      <c r="U1497" s="284"/>
      <c r="V1497" s="284"/>
      <c r="W1497" s="284"/>
    </row>
    <row r="1498" spans="2:23" x14ac:dyDescent="0.25">
      <c r="B1498" s="386" t="s">
        <v>319</v>
      </c>
      <c r="C1498" s="386"/>
      <c r="D1498" s="386"/>
      <c r="E1498" s="386"/>
      <c r="F1498" s="386"/>
      <c r="G1498" s="286"/>
      <c r="H1498" s="286"/>
      <c r="I1498" s="284"/>
      <c r="J1498" s="284"/>
      <c r="K1498" s="284"/>
      <c r="L1498" s="284"/>
      <c r="M1498" s="284"/>
      <c r="N1498" s="284"/>
      <c r="O1498" s="284"/>
      <c r="P1498" s="284"/>
      <c r="Q1498" s="284"/>
      <c r="R1498" s="284"/>
      <c r="S1498" s="284"/>
      <c r="T1498" s="284"/>
      <c r="U1498" s="284"/>
      <c r="V1498" s="284"/>
      <c r="W1498" s="284"/>
    </row>
    <row r="1499" spans="2:23" x14ac:dyDescent="0.25">
      <c r="B1499" s="386" t="s">
        <v>254</v>
      </c>
      <c r="C1499" s="386"/>
      <c r="D1499" s="386" t="s">
        <v>254</v>
      </c>
      <c r="E1499" s="386"/>
      <c r="F1499" s="192" t="s">
        <v>313</v>
      </c>
      <c r="G1499" s="286" t="s">
        <v>314</v>
      </c>
      <c r="H1499" s="286" t="s">
        <v>316</v>
      </c>
      <c r="I1499" s="284"/>
      <c r="J1499" s="284"/>
      <c r="K1499" s="284"/>
      <c r="L1499" s="284"/>
      <c r="M1499" s="284"/>
      <c r="N1499" s="284"/>
      <c r="O1499" s="284"/>
      <c r="P1499" s="284"/>
      <c r="Q1499" s="284"/>
      <c r="R1499" s="284"/>
      <c r="S1499" s="284"/>
      <c r="T1499" s="284"/>
      <c r="U1499" s="284"/>
      <c r="V1499" s="284"/>
      <c r="W1499" s="284"/>
    </row>
    <row r="1500" spans="2:23" x14ac:dyDescent="0.25">
      <c r="B1500" s="286">
        <v>0</v>
      </c>
      <c r="C1500" s="286">
        <v>10</v>
      </c>
      <c r="D1500" s="286"/>
      <c r="E1500" s="286"/>
      <c r="F1500" s="286">
        <v>0</v>
      </c>
      <c r="G1500" s="284">
        <v>1.5</v>
      </c>
      <c r="H1500" s="286">
        <f>(F1500*G1500+F1501*G1501+F1502*G1502+F1503*G1503+F1504*G1504+F1505*G1505+F1506*G1506)/100</f>
        <v>2.82</v>
      </c>
      <c r="I1500" s="284"/>
      <c r="J1500" s="284"/>
      <c r="K1500" s="284"/>
      <c r="L1500" s="284"/>
      <c r="M1500" s="284"/>
      <c r="N1500" s="284"/>
      <c r="O1500" s="284"/>
      <c r="P1500" s="284"/>
      <c r="Q1500" s="284"/>
      <c r="R1500" s="284"/>
      <c r="S1500" s="284"/>
      <c r="T1500" s="284"/>
      <c r="U1500" s="284"/>
      <c r="V1500" s="284"/>
      <c r="W1500" s="284"/>
    </row>
    <row r="1501" spans="2:23" x14ac:dyDescent="0.25">
      <c r="B1501" s="286">
        <v>11</v>
      </c>
      <c r="C1501" s="286">
        <v>25</v>
      </c>
      <c r="D1501" s="286">
        <v>20</v>
      </c>
      <c r="E1501" s="286">
        <v>25</v>
      </c>
      <c r="F1501" s="286">
        <f t="shared" ref="F1501:F1506" si="158">E1501-D1501+1</f>
        <v>6</v>
      </c>
      <c r="G1501" s="284">
        <v>2</v>
      </c>
      <c r="H1501" s="286"/>
      <c r="I1501" s="284"/>
      <c r="J1501" s="284"/>
      <c r="K1501" s="284"/>
      <c r="L1501" s="284"/>
      <c r="M1501" s="284"/>
      <c r="N1501" s="284"/>
      <c r="O1501" s="284"/>
      <c r="P1501" s="284"/>
      <c r="Q1501" s="284"/>
      <c r="R1501" s="284"/>
      <c r="S1501" s="284"/>
      <c r="T1501" s="284"/>
      <c r="U1501" s="284"/>
      <c r="V1501" s="284"/>
      <c r="W1501" s="284"/>
    </row>
    <row r="1502" spans="2:23" x14ac:dyDescent="0.25">
      <c r="B1502" s="286">
        <v>26</v>
      </c>
      <c r="C1502" s="286">
        <v>55</v>
      </c>
      <c r="D1502" s="286">
        <v>26</v>
      </c>
      <c r="E1502" s="286">
        <v>55</v>
      </c>
      <c r="F1502" s="286">
        <f t="shared" si="158"/>
        <v>30</v>
      </c>
      <c r="G1502" s="284">
        <v>2.5</v>
      </c>
      <c r="H1502" s="286"/>
      <c r="I1502" s="284"/>
      <c r="J1502" s="284"/>
      <c r="K1502" s="284"/>
      <c r="L1502" s="284"/>
      <c r="M1502" s="284"/>
      <c r="N1502" s="284"/>
      <c r="O1502" s="284"/>
      <c r="P1502" s="284"/>
      <c r="Q1502" s="284"/>
      <c r="R1502" s="284"/>
      <c r="S1502" s="284"/>
      <c r="T1502" s="284"/>
      <c r="U1502" s="284"/>
      <c r="V1502" s="284"/>
      <c r="W1502" s="284"/>
    </row>
    <row r="1503" spans="2:23" x14ac:dyDescent="0.25">
      <c r="B1503" s="286">
        <v>56</v>
      </c>
      <c r="C1503" s="286">
        <v>85</v>
      </c>
      <c r="D1503" s="286">
        <v>56</v>
      </c>
      <c r="E1503" s="286">
        <v>85</v>
      </c>
      <c r="F1503" s="286">
        <f t="shared" si="158"/>
        <v>30</v>
      </c>
      <c r="G1503" s="284">
        <v>3</v>
      </c>
      <c r="H1503" s="286"/>
      <c r="I1503" s="284"/>
      <c r="J1503" s="284"/>
      <c r="K1503" s="284"/>
      <c r="L1503" s="284"/>
      <c r="M1503" s="284"/>
      <c r="N1503" s="284"/>
      <c r="O1503" s="284"/>
      <c r="P1503" s="284"/>
      <c r="Q1503" s="284"/>
      <c r="R1503" s="284"/>
      <c r="S1503" s="284"/>
      <c r="T1503" s="284"/>
      <c r="U1503" s="284"/>
      <c r="V1503" s="284"/>
      <c r="W1503" s="284"/>
    </row>
    <row r="1504" spans="2:23" x14ac:dyDescent="0.25">
      <c r="B1504" s="286">
        <v>86</v>
      </c>
      <c r="C1504" s="286">
        <v>100</v>
      </c>
      <c r="D1504" s="286">
        <v>86</v>
      </c>
      <c r="E1504" s="286">
        <v>100</v>
      </c>
      <c r="F1504" s="286">
        <f t="shared" si="158"/>
        <v>15</v>
      </c>
      <c r="G1504" s="284">
        <v>3</v>
      </c>
      <c r="H1504" s="286"/>
      <c r="I1504" s="284"/>
      <c r="J1504" s="284"/>
      <c r="K1504" s="284"/>
      <c r="L1504" s="284"/>
      <c r="M1504" s="284"/>
      <c r="N1504" s="284"/>
      <c r="O1504" s="284"/>
      <c r="P1504" s="284"/>
      <c r="Q1504" s="284"/>
      <c r="R1504" s="284"/>
      <c r="S1504" s="284"/>
      <c r="T1504" s="284"/>
      <c r="U1504" s="284"/>
      <c r="V1504" s="284"/>
      <c r="W1504" s="284"/>
    </row>
    <row r="1505" spans="2:23" x14ac:dyDescent="0.25">
      <c r="B1505" s="286">
        <v>101</v>
      </c>
      <c r="C1505" s="286">
        <v>110</v>
      </c>
      <c r="D1505" s="286">
        <v>101</v>
      </c>
      <c r="E1505" s="286">
        <v>110</v>
      </c>
      <c r="F1505" s="286">
        <f t="shared" si="158"/>
        <v>10</v>
      </c>
      <c r="G1505" s="284">
        <v>3</v>
      </c>
      <c r="H1505" s="286"/>
      <c r="I1505" s="284"/>
      <c r="J1505" s="284"/>
      <c r="K1505" s="284"/>
      <c r="L1505" s="284"/>
      <c r="M1505" s="284"/>
      <c r="N1505" s="284"/>
      <c r="O1505" s="284"/>
      <c r="P1505" s="284"/>
      <c r="Q1505" s="284"/>
      <c r="R1505" s="284"/>
      <c r="S1505" s="284"/>
      <c r="T1505" s="284"/>
      <c r="U1505" s="284"/>
      <c r="V1505" s="284"/>
      <c r="W1505" s="284"/>
    </row>
    <row r="1506" spans="2:23" x14ac:dyDescent="0.25">
      <c r="B1506" s="286">
        <v>111</v>
      </c>
      <c r="C1506" s="286">
        <v>120</v>
      </c>
      <c r="D1506" s="286">
        <v>111</v>
      </c>
      <c r="E1506" s="286">
        <v>120</v>
      </c>
      <c r="F1506" s="286">
        <f t="shared" si="158"/>
        <v>10</v>
      </c>
      <c r="G1506" s="284">
        <v>3</v>
      </c>
      <c r="H1506" s="286"/>
      <c r="I1506" s="284"/>
      <c r="J1506" s="284"/>
      <c r="K1506" s="284"/>
      <c r="L1506" s="284"/>
      <c r="M1506" s="284"/>
      <c r="N1506" s="284"/>
      <c r="O1506" s="284"/>
      <c r="P1506" s="284"/>
      <c r="Q1506" s="284"/>
      <c r="R1506" s="284"/>
      <c r="S1506" s="284"/>
      <c r="T1506" s="284"/>
      <c r="U1506" s="284"/>
      <c r="V1506" s="284"/>
      <c r="W1506" s="284"/>
    </row>
    <row r="1507" spans="2:23" x14ac:dyDescent="0.25">
      <c r="B1507" s="284"/>
      <c r="C1507" s="284"/>
      <c r="D1507" s="284"/>
      <c r="E1507" s="284"/>
      <c r="F1507" s="284"/>
      <c r="G1507" s="284"/>
      <c r="H1507" s="284"/>
      <c r="I1507" s="284"/>
      <c r="J1507" s="284"/>
      <c r="K1507" s="284"/>
      <c r="L1507" s="284"/>
      <c r="M1507" s="284"/>
      <c r="N1507" s="284"/>
      <c r="O1507" s="284"/>
      <c r="P1507" s="284"/>
      <c r="Q1507" s="284"/>
      <c r="R1507" s="284"/>
      <c r="S1507" s="284"/>
      <c r="T1507" s="284"/>
      <c r="U1507" s="284"/>
      <c r="V1507" s="284"/>
      <c r="W1507" s="284"/>
    </row>
    <row r="1508" spans="2:23" x14ac:dyDescent="0.25">
      <c r="B1508" s="386" t="s">
        <v>337</v>
      </c>
      <c r="C1508" s="386"/>
      <c r="D1508" s="386"/>
      <c r="E1508" s="386"/>
      <c r="F1508" s="386"/>
      <c r="G1508" s="286"/>
      <c r="H1508" s="286"/>
      <c r="I1508" s="284"/>
      <c r="J1508" s="284"/>
      <c r="K1508" s="284"/>
      <c r="L1508" s="284"/>
      <c r="M1508" s="284"/>
      <c r="N1508" s="284"/>
      <c r="O1508" s="284"/>
      <c r="P1508" s="284"/>
      <c r="Q1508" s="284"/>
      <c r="R1508" s="284"/>
      <c r="S1508" s="284"/>
      <c r="T1508" s="284"/>
      <c r="U1508" s="284"/>
      <c r="V1508" s="284"/>
      <c r="W1508" s="284"/>
    </row>
    <row r="1509" spans="2:23" x14ac:dyDescent="0.25">
      <c r="B1509" s="386" t="s">
        <v>254</v>
      </c>
      <c r="C1509" s="386"/>
      <c r="D1509" s="386" t="s">
        <v>254</v>
      </c>
      <c r="E1509" s="386"/>
      <c r="F1509" s="192" t="s">
        <v>313</v>
      </c>
      <c r="G1509" s="286" t="s">
        <v>314</v>
      </c>
      <c r="H1509" s="286" t="s">
        <v>316</v>
      </c>
      <c r="I1509" s="284"/>
      <c r="J1509" s="284"/>
      <c r="K1509" s="284"/>
      <c r="L1509" s="284"/>
      <c r="M1509" s="284"/>
      <c r="N1509" s="284"/>
      <c r="O1509" s="284"/>
      <c r="P1509" s="284"/>
      <c r="Q1509" s="284"/>
      <c r="R1509" s="284"/>
      <c r="S1509" s="284"/>
      <c r="T1509" s="284"/>
      <c r="U1509" s="284"/>
      <c r="V1509" s="284"/>
      <c r="W1509" s="284"/>
    </row>
    <row r="1510" spans="2:23" x14ac:dyDescent="0.25">
      <c r="B1510" s="286">
        <v>0</v>
      </c>
      <c r="C1510" s="286">
        <v>10</v>
      </c>
      <c r="D1510" s="286"/>
      <c r="E1510" s="286"/>
      <c r="F1510" s="286">
        <v>0</v>
      </c>
      <c r="G1510" s="284">
        <v>1.5</v>
      </c>
      <c r="H1510" s="286">
        <f>(F1510*G1510+F1511*G1511+F1512*G1512+F1513*G1513+F1514*G1514+F1515*G1515+F1516*G1516)/100</f>
        <v>2.83</v>
      </c>
      <c r="I1510" s="284"/>
      <c r="J1510" s="284"/>
      <c r="K1510" s="284"/>
      <c r="L1510" s="284"/>
      <c r="M1510" s="284"/>
      <c r="N1510" s="284"/>
      <c r="O1510" s="284"/>
      <c r="P1510" s="284"/>
      <c r="Q1510" s="284"/>
      <c r="R1510" s="284"/>
      <c r="S1510" s="284"/>
      <c r="T1510" s="284"/>
      <c r="U1510" s="284"/>
      <c r="V1510" s="284"/>
      <c r="W1510" s="284"/>
    </row>
    <row r="1511" spans="2:23" x14ac:dyDescent="0.25">
      <c r="B1511" s="286">
        <v>11</v>
      </c>
      <c r="C1511" s="286">
        <v>25</v>
      </c>
      <c r="D1511" s="286">
        <v>21</v>
      </c>
      <c r="E1511" s="286">
        <v>25</v>
      </c>
      <c r="F1511" s="286">
        <f t="shared" ref="F1511:F1516" si="159">E1511-D1511+1</f>
        <v>5</v>
      </c>
      <c r="G1511" s="284">
        <v>2</v>
      </c>
      <c r="H1511" s="286"/>
      <c r="I1511" s="284"/>
      <c r="J1511" s="284"/>
      <c r="K1511" s="284"/>
      <c r="L1511" s="284"/>
      <c r="M1511" s="284"/>
      <c r="N1511" s="284"/>
      <c r="O1511" s="284"/>
      <c r="P1511" s="284"/>
      <c r="Q1511" s="284"/>
      <c r="R1511" s="284"/>
      <c r="S1511" s="284"/>
      <c r="T1511" s="284"/>
      <c r="U1511" s="284"/>
      <c r="V1511" s="284"/>
      <c r="W1511" s="284"/>
    </row>
    <row r="1512" spans="2:23" x14ac:dyDescent="0.25">
      <c r="B1512" s="286">
        <v>26</v>
      </c>
      <c r="C1512" s="286">
        <v>55</v>
      </c>
      <c r="D1512" s="286">
        <v>26</v>
      </c>
      <c r="E1512" s="286">
        <v>55</v>
      </c>
      <c r="F1512" s="286">
        <f t="shared" si="159"/>
        <v>30</v>
      </c>
      <c r="G1512" s="284">
        <v>2.5</v>
      </c>
      <c r="H1512" s="286"/>
      <c r="I1512" s="284"/>
      <c r="J1512" s="284"/>
      <c r="K1512" s="284"/>
      <c r="L1512" s="284"/>
      <c r="M1512" s="284"/>
      <c r="N1512" s="284"/>
      <c r="O1512" s="284"/>
      <c r="P1512" s="284"/>
      <c r="Q1512" s="284"/>
      <c r="R1512" s="284"/>
      <c r="S1512" s="284"/>
      <c r="T1512" s="284"/>
      <c r="U1512" s="284"/>
      <c r="V1512" s="284"/>
      <c r="W1512" s="284"/>
    </row>
    <row r="1513" spans="2:23" x14ac:dyDescent="0.25">
      <c r="B1513" s="286">
        <v>56</v>
      </c>
      <c r="C1513" s="286">
        <v>85</v>
      </c>
      <c r="D1513" s="286">
        <v>56</v>
      </c>
      <c r="E1513" s="286">
        <v>85</v>
      </c>
      <c r="F1513" s="286">
        <f t="shared" si="159"/>
        <v>30</v>
      </c>
      <c r="G1513" s="284">
        <v>3</v>
      </c>
      <c r="H1513" s="286"/>
      <c r="I1513" s="284"/>
      <c r="J1513" s="284"/>
      <c r="K1513" s="284"/>
      <c r="L1513" s="284"/>
      <c r="M1513" s="284"/>
      <c r="N1513" s="284"/>
      <c r="O1513" s="284"/>
      <c r="P1513" s="284"/>
      <c r="Q1513" s="284"/>
      <c r="R1513" s="284"/>
      <c r="S1513" s="284"/>
      <c r="T1513" s="284"/>
      <c r="U1513" s="284"/>
      <c r="V1513" s="284"/>
      <c r="W1513" s="284"/>
    </row>
    <row r="1514" spans="2:23" x14ac:dyDescent="0.25">
      <c r="B1514" s="286">
        <v>86</v>
      </c>
      <c r="C1514" s="286">
        <v>100</v>
      </c>
      <c r="D1514" s="286">
        <v>86</v>
      </c>
      <c r="E1514" s="286">
        <v>100</v>
      </c>
      <c r="F1514" s="286">
        <f t="shared" si="159"/>
        <v>15</v>
      </c>
      <c r="G1514" s="284">
        <v>3</v>
      </c>
      <c r="H1514" s="286"/>
      <c r="I1514" s="284"/>
      <c r="J1514" s="284"/>
      <c r="K1514" s="284"/>
      <c r="L1514" s="284"/>
      <c r="M1514" s="284"/>
      <c r="N1514" s="284"/>
      <c r="O1514" s="284"/>
      <c r="P1514" s="284"/>
      <c r="Q1514" s="284"/>
      <c r="R1514" s="284"/>
      <c r="S1514" s="284"/>
      <c r="T1514" s="284"/>
      <c r="U1514" s="284"/>
      <c r="V1514" s="284"/>
      <c r="W1514" s="284"/>
    </row>
    <row r="1515" spans="2:23" x14ac:dyDescent="0.25">
      <c r="B1515" s="286">
        <v>101</v>
      </c>
      <c r="C1515" s="286">
        <v>110</v>
      </c>
      <c r="D1515" s="286">
        <v>101</v>
      </c>
      <c r="E1515" s="286">
        <v>110</v>
      </c>
      <c r="F1515" s="286">
        <f t="shared" si="159"/>
        <v>10</v>
      </c>
      <c r="G1515" s="284">
        <v>3</v>
      </c>
      <c r="H1515" s="286"/>
      <c r="I1515" s="284"/>
      <c r="J1515" s="284"/>
      <c r="K1515" s="284"/>
      <c r="L1515" s="284"/>
      <c r="M1515" s="284"/>
      <c r="N1515" s="284"/>
      <c r="O1515" s="284"/>
      <c r="P1515" s="284"/>
      <c r="Q1515" s="284"/>
      <c r="R1515" s="284"/>
      <c r="S1515" s="284"/>
      <c r="T1515" s="284"/>
      <c r="U1515" s="284"/>
      <c r="V1515" s="284"/>
      <c r="W1515" s="284"/>
    </row>
    <row r="1516" spans="2:23" x14ac:dyDescent="0.25">
      <c r="B1516" s="286">
        <v>111</v>
      </c>
      <c r="C1516" s="286">
        <v>120</v>
      </c>
      <c r="D1516" s="286">
        <v>111</v>
      </c>
      <c r="E1516" s="286">
        <v>121</v>
      </c>
      <c r="F1516" s="286">
        <f t="shared" si="159"/>
        <v>11</v>
      </c>
      <c r="G1516" s="284">
        <v>3</v>
      </c>
      <c r="H1516" s="286"/>
      <c r="I1516" s="284"/>
      <c r="J1516" s="284"/>
      <c r="K1516" s="284"/>
      <c r="L1516" s="284"/>
      <c r="M1516" s="284"/>
      <c r="N1516" s="284"/>
      <c r="O1516" s="284"/>
      <c r="P1516" s="284"/>
      <c r="Q1516" s="284"/>
      <c r="R1516" s="284"/>
      <c r="S1516" s="284"/>
      <c r="T1516" s="284"/>
      <c r="U1516" s="284"/>
      <c r="V1516" s="284"/>
      <c r="W1516" s="284"/>
    </row>
    <row r="1517" spans="2:23" x14ac:dyDescent="0.25">
      <c r="B1517" s="284"/>
      <c r="C1517" s="284"/>
      <c r="D1517" s="284"/>
      <c r="E1517" s="284"/>
      <c r="F1517" s="284"/>
      <c r="G1517" s="284"/>
      <c r="H1517" s="284"/>
      <c r="I1517" s="284"/>
      <c r="J1517" s="284"/>
      <c r="K1517" s="284"/>
      <c r="L1517" s="284"/>
      <c r="M1517" s="284"/>
      <c r="N1517" s="284"/>
      <c r="O1517" s="284"/>
      <c r="P1517" s="284"/>
      <c r="Q1517" s="284"/>
      <c r="R1517" s="284"/>
      <c r="S1517" s="284"/>
      <c r="T1517" s="284"/>
      <c r="U1517" s="284"/>
      <c r="V1517" s="284"/>
      <c r="W1517" s="284"/>
    </row>
    <row r="1518" spans="2:23" x14ac:dyDescent="0.25">
      <c r="B1518" s="386" t="s">
        <v>338</v>
      </c>
      <c r="C1518" s="386"/>
      <c r="D1518" s="386"/>
      <c r="E1518" s="386"/>
      <c r="F1518" s="386"/>
      <c r="G1518" s="286"/>
      <c r="H1518" s="286"/>
      <c r="I1518" s="284"/>
      <c r="J1518" s="284"/>
      <c r="K1518" s="284"/>
      <c r="L1518" s="284"/>
      <c r="M1518" s="284"/>
      <c r="N1518" s="284"/>
      <c r="O1518" s="284"/>
      <c r="P1518" s="284"/>
      <c r="Q1518" s="284"/>
      <c r="R1518" s="284"/>
      <c r="S1518" s="284"/>
      <c r="T1518" s="284"/>
      <c r="U1518" s="284"/>
      <c r="V1518" s="284"/>
      <c r="W1518" s="284"/>
    </row>
    <row r="1519" spans="2:23" x14ac:dyDescent="0.25">
      <c r="B1519" s="386" t="s">
        <v>254</v>
      </c>
      <c r="C1519" s="386"/>
      <c r="D1519" s="386" t="s">
        <v>254</v>
      </c>
      <c r="E1519" s="386"/>
      <c r="F1519" s="192" t="s">
        <v>313</v>
      </c>
      <c r="G1519" s="286" t="s">
        <v>314</v>
      </c>
      <c r="H1519" s="286" t="s">
        <v>316</v>
      </c>
      <c r="I1519" s="284"/>
      <c r="J1519" s="284"/>
      <c r="K1519" s="284"/>
      <c r="L1519" s="284"/>
      <c r="M1519" s="284"/>
      <c r="N1519" s="284"/>
      <c r="O1519" s="284"/>
      <c r="P1519" s="284"/>
      <c r="Q1519" s="284"/>
      <c r="R1519" s="284"/>
      <c r="S1519" s="284"/>
      <c r="T1519" s="284"/>
      <c r="U1519" s="284"/>
      <c r="V1519" s="284"/>
      <c r="W1519" s="284"/>
    </row>
    <row r="1520" spans="2:23" x14ac:dyDescent="0.25">
      <c r="B1520" s="286">
        <v>0</v>
      </c>
      <c r="C1520" s="286">
        <v>10</v>
      </c>
      <c r="D1520" s="286"/>
      <c r="E1520" s="286"/>
      <c r="F1520" s="286">
        <v>0</v>
      </c>
      <c r="G1520" s="284">
        <v>1.5</v>
      </c>
      <c r="H1520" s="286">
        <f>(F1520*G1520+F1521*G1521+F1522*G1522+F1523*G1523+F1524*G1524+F1525*G1525+F1526*G1526)/100</f>
        <v>2.84</v>
      </c>
      <c r="I1520" s="284"/>
      <c r="J1520" s="284"/>
      <c r="K1520" s="284"/>
      <c r="L1520" s="284"/>
      <c r="M1520" s="284"/>
      <c r="N1520" s="284"/>
      <c r="O1520" s="284"/>
      <c r="P1520" s="284"/>
      <c r="Q1520" s="284"/>
      <c r="R1520" s="284"/>
      <c r="S1520" s="284"/>
      <c r="T1520" s="284"/>
      <c r="U1520" s="284"/>
      <c r="V1520" s="284"/>
      <c r="W1520" s="284"/>
    </row>
    <row r="1521" spans="2:23" x14ac:dyDescent="0.25">
      <c r="B1521" s="286">
        <v>11</v>
      </c>
      <c r="C1521" s="286">
        <v>25</v>
      </c>
      <c r="D1521" s="286">
        <v>22</v>
      </c>
      <c r="E1521" s="286">
        <v>25</v>
      </c>
      <c r="F1521" s="286">
        <f t="shared" ref="F1521:F1526" si="160">E1521-D1521+1</f>
        <v>4</v>
      </c>
      <c r="G1521" s="284">
        <v>2</v>
      </c>
      <c r="H1521" s="286"/>
      <c r="I1521" s="284"/>
      <c r="J1521" s="284"/>
      <c r="K1521" s="284"/>
      <c r="L1521" s="284"/>
      <c r="M1521" s="284"/>
      <c r="N1521" s="284"/>
      <c r="O1521" s="284"/>
      <c r="P1521" s="284"/>
      <c r="Q1521" s="284"/>
      <c r="R1521" s="284"/>
      <c r="S1521" s="284"/>
      <c r="T1521" s="284"/>
      <c r="U1521" s="284"/>
      <c r="V1521" s="284"/>
      <c r="W1521" s="284"/>
    </row>
    <row r="1522" spans="2:23" x14ac:dyDescent="0.25">
      <c r="B1522" s="286">
        <v>26</v>
      </c>
      <c r="C1522" s="286">
        <v>55</v>
      </c>
      <c r="D1522" s="286">
        <v>26</v>
      </c>
      <c r="E1522" s="286">
        <v>55</v>
      </c>
      <c r="F1522" s="286">
        <f t="shared" si="160"/>
        <v>30</v>
      </c>
      <c r="G1522" s="284">
        <v>2.5</v>
      </c>
      <c r="H1522" s="286"/>
      <c r="I1522" s="284"/>
      <c r="J1522" s="284"/>
      <c r="K1522" s="284"/>
      <c r="L1522" s="284"/>
      <c r="M1522" s="284"/>
      <c r="N1522" s="284"/>
      <c r="O1522" s="284"/>
      <c r="P1522" s="284"/>
      <c r="Q1522" s="284"/>
      <c r="R1522" s="284"/>
      <c r="S1522" s="284"/>
      <c r="T1522" s="284"/>
      <c r="U1522" s="284"/>
      <c r="V1522" s="284"/>
      <c r="W1522" s="284"/>
    </row>
    <row r="1523" spans="2:23" x14ac:dyDescent="0.25">
      <c r="B1523" s="286">
        <v>56</v>
      </c>
      <c r="C1523" s="286">
        <v>85</v>
      </c>
      <c r="D1523" s="286">
        <v>56</v>
      </c>
      <c r="E1523" s="286">
        <v>85</v>
      </c>
      <c r="F1523" s="286">
        <f t="shared" si="160"/>
        <v>30</v>
      </c>
      <c r="G1523" s="284">
        <v>3</v>
      </c>
      <c r="H1523" s="286"/>
      <c r="I1523" s="284"/>
      <c r="J1523" s="284"/>
      <c r="K1523" s="284"/>
      <c r="L1523" s="284"/>
      <c r="M1523" s="284"/>
      <c r="N1523" s="284"/>
      <c r="O1523" s="284"/>
      <c r="P1523" s="284"/>
      <c r="Q1523" s="284"/>
      <c r="R1523" s="284"/>
      <c r="S1523" s="284"/>
      <c r="T1523" s="284"/>
      <c r="U1523" s="284"/>
      <c r="V1523" s="284"/>
      <c r="W1523" s="284"/>
    </row>
    <row r="1524" spans="2:23" x14ac:dyDescent="0.25">
      <c r="B1524" s="286">
        <v>86</v>
      </c>
      <c r="C1524" s="286">
        <v>100</v>
      </c>
      <c r="D1524" s="286">
        <v>86</v>
      </c>
      <c r="E1524" s="286">
        <v>100</v>
      </c>
      <c r="F1524" s="286">
        <f t="shared" si="160"/>
        <v>15</v>
      </c>
      <c r="G1524" s="284">
        <v>3</v>
      </c>
      <c r="H1524" s="286"/>
      <c r="I1524" s="284"/>
      <c r="J1524" s="284"/>
      <c r="K1524" s="284"/>
      <c r="L1524" s="284"/>
      <c r="M1524" s="284"/>
      <c r="N1524" s="284"/>
      <c r="O1524" s="284"/>
      <c r="P1524" s="284"/>
      <c r="Q1524" s="284"/>
      <c r="R1524" s="284"/>
      <c r="S1524" s="284"/>
      <c r="T1524" s="284"/>
      <c r="U1524" s="284"/>
      <c r="V1524" s="284"/>
      <c r="W1524" s="284"/>
    </row>
    <row r="1525" spans="2:23" x14ac:dyDescent="0.25">
      <c r="B1525" s="286">
        <v>101</v>
      </c>
      <c r="C1525" s="286">
        <v>110</v>
      </c>
      <c r="D1525" s="286">
        <v>101</v>
      </c>
      <c r="E1525" s="286">
        <v>110</v>
      </c>
      <c r="F1525" s="286">
        <f t="shared" si="160"/>
        <v>10</v>
      </c>
      <c r="G1525" s="284">
        <v>3</v>
      </c>
      <c r="H1525" s="286"/>
      <c r="I1525" s="284"/>
      <c r="J1525" s="284"/>
      <c r="K1525" s="284"/>
      <c r="L1525" s="284"/>
      <c r="M1525" s="284"/>
      <c r="N1525" s="284"/>
      <c r="O1525" s="284"/>
      <c r="P1525" s="284"/>
      <c r="Q1525" s="284"/>
      <c r="R1525" s="284"/>
      <c r="S1525" s="284"/>
      <c r="T1525" s="284"/>
      <c r="U1525" s="284"/>
      <c r="V1525" s="284"/>
      <c r="W1525" s="284"/>
    </row>
    <row r="1526" spans="2:23" x14ac:dyDescent="0.25">
      <c r="B1526" s="286">
        <v>111</v>
      </c>
      <c r="C1526" s="286">
        <v>120</v>
      </c>
      <c r="D1526" s="286">
        <v>111</v>
      </c>
      <c r="E1526" s="286">
        <v>122</v>
      </c>
      <c r="F1526" s="286">
        <f t="shared" si="160"/>
        <v>12</v>
      </c>
      <c r="G1526" s="284">
        <v>3</v>
      </c>
      <c r="H1526" s="286"/>
      <c r="I1526" s="284"/>
      <c r="J1526" s="284"/>
      <c r="K1526" s="284"/>
      <c r="L1526" s="284"/>
      <c r="M1526" s="284"/>
      <c r="N1526" s="284"/>
      <c r="O1526" s="284"/>
      <c r="P1526" s="284"/>
      <c r="Q1526" s="284"/>
      <c r="R1526" s="284"/>
      <c r="S1526" s="284"/>
      <c r="T1526" s="284"/>
      <c r="U1526" s="284"/>
      <c r="V1526" s="284"/>
      <c r="W1526" s="284"/>
    </row>
    <row r="1527" spans="2:23" x14ac:dyDescent="0.25">
      <c r="B1527" s="284"/>
      <c r="C1527" s="284"/>
      <c r="D1527" s="284"/>
      <c r="E1527" s="284"/>
      <c r="F1527" s="284"/>
      <c r="G1527" s="284"/>
      <c r="H1527" s="284"/>
      <c r="I1527" s="284"/>
      <c r="J1527" s="284"/>
      <c r="K1527" s="284"/>
      <c r="L1527" s="284"/>
      <c r="M1527" s="284"/>
      <c r="N1527" s="284"/>
      <c r="O1527" s="284"/>
      <c r="P1527" s="284"/>
      <c r="Q1527" s="284"/>
      <c r="R1527" s="284"/>
      <c r="S1527" s="284"/>
      <c r="T1527" s="284"/>
      <c r="U1527" s="284"/>
      <c r="V1527" s="284"/>
      <c r="W1527" s="284"/>
    </row>
    <row r="1528" spans="2:23" x14ac:dyDescent="0.25">
      <c r="B1528" s="386" t="s">
        <v>339</v>
      </c>
      <c r="C1528" s="386"/>
      <c r="D1528" s="386"/>
      <c r="E1528" s="386"/>
      <c r="F1528" s="386"/>
      <c r="G1528" s="286"/>
      <c r="H1528" s="286"/>
      <c r="I1528" s="284"/>
      <c r="J1528" s="284"/>
      <c r="K1528" s="284"/>
      <c r="L1528" s="284"/>
      <c r="M1528" s="284"/>
      <c r="N1528" s="284"/>
      <c r="O1528" s="284"/>
      <c r="P1528" s="284"/>
      <c r="Q1528" s="284"/>
      <c r="R1528" s="284"/>
      <c r="S1528" s="284"/>
      <c r="T1528" s="284"/>
      <c r="U1528" s="284"/>
      <c r="V1528" s="284"/>
      <c r="W1528" s="284"/>
    </row>
    <row r="1529" spans="2:23" x14ac:dyDescent="0.25">
      <c r="B1529" s="386" t="s">
        <v>254</v>
      </c>
      <c r="C1529" s="386"/>
      <c r="D1529" s="386" t="s">
        <v>254</v>
      </c>
      <c r="E1529" s="386"/>
      <c r="F1529" s="192" t="s">
        <v>313</v>
      </c>
      <c r="G1529" s="286" t="s">
        <v>314</v>
      </c>
      <c r="H1529" s="286" t="s">
        <v>316</v>
      </c>
      <c r="I1529" s="284"/>
      <c r="J1529" s="284"/>
      <c r="K1529" s="284"/>
      <c r="L1529" s="284"/>
      <c r="M1529" s="284"/>
      <c r="N1529" s="284"/>
      <c r="O1529" s="284"/>
      <c r="P1529" s="284"/>
      <c r="Q1529" s="284"/>
      <c r="R1529" s="284"/>
      <c r="S1529" s="284"/>
      <c r="T1529" s="284"/>
      <c r="U1529" s="284"/>
      <c r="V1529" s="284"/>
      <c r="W1529" s="284"/>
    </row>
    <row r="1530" spans="2:23" x14ac:dyDescent="0.25">
      <c r="B1530" s="286">
        <v>0</v>
      </c>
      <c r="C1530" s="286">
        <v>10</v>
      </c>
      <c r="D1530" s="286"/>
      <c r="E1530" s="286"/>
      <c r="F1530" s="286">
        <v>0</v>
      </c>
      <c r="G1530" s="284">
        <v>1.5</v>
      </c>
      <c r="H1530" s="286">
        <f>(F1530*G1530+F1531*G1531+F1532*G1532+F1533*G1533+F1534*G1534+F1535*G1535+F1536*G1536)/100</f>
        <v>2.85</v>
      </c>
      <c r="I1530" s="284"/>
      <c r="J1530" s="284"/>
      <c r="K1530" s="284"/>
      <c r="L1530" s="284"/>
      <c r="M1530" s="284"/>
      <c r="N1530" s="284"/>
      <c r="O1530" s="284"/>
      <c r="P1530" s="284"/>
      <c r="Q1530" s="284"/>
      <c r="R1530" s="284"/>
      <c r="S1530" s="284"/>
      <c r="T1530" s="284"/>
      <c r="U1530" s="284"/>
      <c r="V1530" s="284"/>
      <c r="W1530" s="284"/>
    </row>
    <row r="1531" spans="2:23" x14ac:dyDescent="0.25">
      <c r="B1531" s="286">
        <v>11</v>
      </c>
      <c r="C1531" s="286">
        <v>25</v>
      </c>
      <c r="D1531" s="286">
        <v>23</v>
      </c>
      <c r="E1531" s="286">
        <v>25</v>
      </c>
      <c r="F1531" s="286">
        <f t="shared" ref="F1531:F1536" si="161">E1531-D1531+1</f>
        <v>3</v>
      </c>
      <c r="G1531" s="284">
        <v>2</v>
      </c>
      <c r="H1531" s="286"/>
      <c r="I1531" s="284"/>
      <c r="J1531" s="284"/>
      <c r="K1531" s="284"/>
      <c r="L1531" s="284"/>
      <c r="M1531" s="284"/>
      <c r="N1531" s="284"/>
      <c r="O1531" s="284"/>
      <c r="P1531" s="284"/>
      <c r="Q1531" s="284"/>
      <c r="R1531" s="284"/>
      <c r="S1531" s="284"/>
      <c r="T1531" s="284"/>
      <c r="U1531" s="284"/>
      <c r="V1531" s="284"/>
      <c r="W1531" s="284"/>
    </row>
    <row r="1532" spans="2:23" x14ac:dyDescent="0.25">
      <c r="B1532" s="286">
        <v>26</v>
      </c>
      <c r="C1532" s="286">
        <v>55</v>
      </c>
      <c r="D1532" s="286">
        <v>26</v>
      </c>
      <c r="E1532" s="286">
        <v>55</v>
      </c>
      <c r="F1532" s="286">
        <f t="shared" si="161"/>
        <v>30</v>
      </c>
      <c r="G1532" s="284">
        <v>2.5</v>
      </c>
      <c r="H1532" s="286"/>
      <c r="I1532" s="284"/>
      <c r="J1532" s="284"/>
      <c r="K1532" s="284"/>
      <c r="L1532" s="284"/>
      <c r="M1532" s="284"/>
      <c r="N1532" s="284"/>
      <c r="O1532" s="284"/>
      <c r="P1532" s="284"/>
      <c r="Q1532" s="284"/>
      <c r="R1532" s="284"/>
      <c r="S1532" s="284"/>
      <c r="T1532" s="284"/>
      <c r="U1532" s="284"/>
      <c r="V1532" s="284"/>
      <c r="W1532" s="284"/>
    </row>
    <row r="1533" spans="2:23" x14ac:dyDescent="0.25">
      <c r="B1533" s="286">
        <v>56</v>
      </c>
      <c r="C1533" s="286">
        <v>85</v>
      </c>
      <c r="D1533" s="286">
        <v>56</v>
      </c>
      <c r="E1533" s="286">
        <v>85</v>
      </c>
      <c r="F1533" s="286">
        <f t="shared" si="161"/>
        <v>30</v>
      </c>
      <c r="G1533" s="284">
        <v>3</v>
      </c>
      <c r="H1533" s="286"/>
      <c r="I1533" s="284"/>
      <c r="J1533" s="284"/>
      <c r="K1533" s="284"/>
      <c r="L1533" s="284"/>
      <c r="M1533" s="284"/>
      <c r="N1533" s="284"/>
      <c r="O1533" s="284"/>
      <c r="P1533" s="284"/>
      <c r="Q1533" s="284"/>
      <c r="R1533" s="284"/>
      <c r="S1533" s="284"/>
      <c r="T1533" s="284"/>
      <c r="U1533" s="284"/>
      <c r="V1533" s="284"/>
      <c r="W1533" s="284"/>
    </row>
    <row r="1534" spans="2:23" x14ac:dyDescent="0.25">
      <c r="B1534" s="286">
        <v>86</v>
      </c>
      <c r="C1534" s="286">
        <v>100</v>
      </c>
      <c r="D1534" s="286">
        <v>86</v>
      </c>
      <c r="E1534" s="286">
        <v>100</v>
      </c>
      <c r="F1534" s="286">
        <f t="shared" si="161"/>
        <v>15</v>
      </c>
      <c r="G1534" s="284">
        <v>3</v>
      </c>
      <c r="H1534" s="286"/>
      <c r="I1534" s="284"/>
      <c r="J1534" s="284"/>
      <c r="K1534" s="284"/>
      <c r="L1534" s="284"/>
      <c r="M1534" s="284"/>
      <c r="N1534" s="284"/>
      <c r="O1534" s="284"/>
      <c r="P1534" s="284"/>
      <c r="Q1534" s="284"/>
      <c r="R1534" s="284"/>
      <c r="S1534" s="284"/>
      <c r="T1534" s="284"/>
      <c r="U1534" s="284"/>
      <c r="V1534" s="284"/>
      <c r="W1534" s="284"/>
    </row>
    <row r="1535" spans="2:23" x14ac:dyDescent="0.25">
      <c r="B1535" s="286">
        <v>101</v>
      </c>
      <c r="C1535" s="286">
        <v>110</v>
      </c>
      <c r="D1535" s="286">
        <v>101</v>
      </c>
      <c r="E1535" s="286">
        <v>110</v>
      </c>
      <c r="F1535" s="286">
        <f t="shared" si="161"/>
        <v>10</v>
      </c>
      <c r="G1535" s="284">
        <v>3</v>
      </c>
      <c r="H1535" s="286"/>
      <c r="I1535" s="284"/>
      <c r="J1535" s="284"/>
      <c r="K1535" s="284"/>
      <c r="L1535" s="284"/>
      <c r="M1535" s="284"/>
      <c r="N1535" s="284"/>
      <c r="O1535" s="284"/>
      <c r="P1535" s="284"/>
      <c r="Q1535" s="284"/>
      <c r="R1535" s="284"/>
      <c r="S1535" s="284"/>
      <c r="T1535" s="284"/>
      <c r="U1535" s="284"/>
      <c r="V1535" s="284"/>
      <c r="W1535" s="284"/>
    </row>
    <row r="1536" spans="2:23" x14ac:dyDescent="0.25">
      <c r="B1536" s="286">
        <v>111</v>
      </c>
      <c r="C1536" s="286">
        <v>120</v>
      </c>
      <c r="D1536" s="286">
        <v>111</v>
      </c>
      <c r="E1536" s="286">
        <v>123</v>
      </c>
      <c r="F1536" s="286">
        <f t="shared" si="161"/>
        <v>13</v>
      </c>
      <c r="G1536" s="284">
        <v>3</v>
      </c>
      <c r="H1536" s="286"/>
      <c r="I1536" s="284"/>
      <c r="J1536" s="284"/>
      <c r="K1536" s="284"/>
      <c r="L1536" s="284"/>
      <c r="M1536" s="284"/>
      <c r="N1536" s="284"/>
      <c r="O1536" s="284"/>
      <c r="P1536" s="284"/>
      <c r="Q1536" s="284"/>
      <c r="R1536" s="284"/>
      <c r="S1536" s="284"/>
      <c r="T1536" s="284"/>
      <c r="U1536" s="284"/>
      <c r="V1536" s="284"/>
      <c r="W1536" s="284"/>
    </row>
    <row r="1537" spans="2:23" x14ac:dyDescent="0.25">
      <c r="B1537" s="284"/>
      <c r="C1537" s="284"/>
      <c r="D1537" s="284"/>
      <c r="E1537" s="284"/>
      <c r="F1537" s="284"/>
      <c r="G1537" s="284"/>
      <c r="H1537" s="284"/>
      <c r="I1537" s="284"/>
      <c r="J1537" s="284"/>
      <c r="K1537" s="284"/>
      <c r="L1537" s="284"/>
      <c r="M1537" s="284"/>
      <c r="N1537" s="284"/>
      <c r="O1537" s="284"/>
      <c r="P1537" s="284"/>
      <c r="Q1537" s="284"/>
      <c r="R1537" s="284"/>
      <c r="S1537" s="284"/>
      <c r="T1537" s="284"/>
      <c r="U1537" s="284"/>
      <c r="V1537" s="284"/>
      <c r="W1537" s="284"/>
    </row>
    <row r="1538" spans="2:23" x14ac:dyDescent="0.25">
      <c r="B1538" s="386" t="s">
        <v>340</v>
      </c>
      <c r="C1538" s="386"/>
      <c r="D1538" s="386"/>
      <c r="E1538" s="386"/>
      <c r="F1538" s="386"/>
      <c r="G1538" s="286"/>
      <c r="H1538" s="286"/>
      <c r="I1538" s="284"/>
      <c r="J1538" s="284"/>
      <c r="K1538" s="284"/>
      <c r="L1538" s="284"/>
      <c r="M1538" s="284"/>
      <c r="N1538" s="284"/>
      <c r="O1538" s="284"/>
      <c r="P1538" s="284"/>
      <c r="Q1538" s="284"/>
      <c r="R1538" s="284"/>
      <c r="S1538" s="284"/>
      <c r="T1538" s="284"/>
      <c r="U1538" s="284"/>
      <c r="V1538" s="284"/>
      <c r="W1538" s="284"/>
    </row>
    <row r="1539" spans="2:23" x14ac:dyDescent="0.25">
      <c r="B1539" s="386" t="s">
        <v>254</v>
      </c>
      <c r="C1539" s="386"/>
      <c r="D1539" s="386" t="s">
        <v>254</v>
      </c>
      <c r="E1539" s="386"/>
      <c r="F1539" s="192" t="s">
        <v>313</v>
      </c>
      <c r="G1539" s="286" t="s">
        <v>314</v>
      </c>
      <c r="H1539" s="286" t="s">
        <v>316</v>
      </c>
      <c r="I1539" s="284"/>
      <c r="J1539" s="284"/>
      <c r="K1539" s="284"/>
      <c r="L1539" s="284"/>
      <c r="M1539" s="284"/>
      <c r="N1539" s="284"/>
      <c r="O1539" s="284"/>
      <c r="P1539" s="284"/>
      <c r="Q1539" s="284"/>
      <c r="R1539" s="284"/>
      <c r="S1539" s="284"/>
      <c r="T1539" s="284"/>
      <c r="U1539" s="284"/>
      <c r="V1539" s="284"/>
      <c r="W1539" s="284"/>
    </row>
    <row r="1540" spans="2:23" x14ac:dyDescent="0.25">
      <c r="B1540" s="286">
        <v>0</v>
      </c>
      <c r="C1540" s="286">
        <v>10</v>
      </c>
      <c r="D1540" s="286"/>
      <c r="E1540" s="286"/>
      <c r="F1540" s="286">
        <v>0</v>
      </c>
      <c r="G1540" s="284">
        <v>1.5</v>
      </c>
      <c r="H1540" s="286">
        <f>(F1540*G1540+F1541*G1541+F1542*G1542+F1543*G1543+F1544*G1544+F1545*G1545+F1546*G1546)/100</f>
        <v>2.86</v>
      </c>
      <c r="I1540" s="284"/>
      <c r="J1540" s="284"/>
      <c r="K1540" s="284"/>
      <c r="L1540" s="284"/>
      <c r="M1540" s="284"/>
      <c r="N1540" s="284"/>
      <c r="O1540" s="284"/>
      <c r="P1540" s="284"/>
      <c r="Q1540" s="284"/>
      <c r="R1540" s="284"/>
      <c r="S1540" s="284"/>
      <c r="T1540" s="284"/>
      <c r="U1540" s="284"/>
      <c r="V1540" s="284"/>
      <c r="W1540" s="284"/>
    </row>
    <row r="1541" spans="2:23" x14ac:dyDescent="0.25">
      <c r="B1541" s="286">
        <v>11</v>
      </c>
      <c r="C1541" s="286">
        <v>25</v>
      </c>
      <c r="D1541" s="286">
        <v>24</v>
      </c>
      <c r="E1541" s="286">
        <v>25</v>
      </c>
      <c r="F1541" s="286">
        <f t="shared" ref="F1541:F1546" si="162">E1541-D1541+1</f>
        <v>2</v>
      </c>
      <c r="G1541" s="284">
        <v>2</v>
      </c>
      <c r="H1541" s="286"/>
      <c r="I1541" s="284"/>
      <c r="J1541" s="284"/>
      <c r="K1541" s="284"/>
      <c r="L1541" s="284"/>
      <c r="M1541" s="284"/>
      <c r="N1541" s="284"/>
      <c r="O1541" s="284"/>
      <c r="P1541" s="284"/>
      <c r="Q1541" s="284"/>
      <c r="R1541" s="284"/>
      <c r="S1541" s="284"/>
      <c r="T1541" s="284"/>
      <c r="U1541" s="284"/>
      <c r="V1541" s="284"/>
      <c r="W1541" s="284"/>
    </row>
    <row r="1542" spans="2:23" x14ac:dyDescent="0.25">
      <c r="B1542" s="286">
        <v>26</v>
      </c>
      <c r="C1542" s="286">
        <v>55</v>
      </c>
      <c r="D1542" s="286">
        <v>26</v>
      </c>
      <c r="E1542" s="286">
        <v>55</v>
      </c>
      <c r="F1542" s="286">
        <f t="shared" si="162"/>
        <v>30</v>
      </c>
      <c r="G1542" s="284">
        <v>2.5</v>
      </c>
      <c r="H1542" s="286"/>
      <c r="I1542" s="284"/>
      <c r="J1542" s="284"/>
      <c r="K1542" s="284"/>
      <c r="L1542" s="284"/>
      <c r="M1542" s="284"/>
      <c r="N1542" s="284"/>
      <c r="O1542" s="284"/>
      <c r="P1542" s="284"/>
      <c r="Q1542" s="284"/>
      <c r="R1542" s="284"/>
      <c r="S1542" s="284"/>
      <c r="T1542" s="284"/>
      <c r="U1542" s="284"/>
      <c r="V1542" s="284"/>
      <c r="W1542" s="284"/>
    </row>
    <row r="1543" spans="2:23" x14ac:dyDescent="0.25">
      <c r="B1543" s="286">
        <v>56</v>
      </c>
      <c r="C1543" s="286">
        <v>85</v>
      </c>
      <c r="D1543" s="286">
        <v>56</v>
      </c>
      <c r="E1543" s="286">
        <v>85</v>
      </c>
      <c r="F1543" s="286">
        <f t="shared" si="162"/>
        <v>30</v>
      </c>
      <c r="G1543" s="284">
        <v>3</v>
      </c>
      <c r="H1543" s="286"/>
      <c r="I1543" s="284"/>
      <c r="J1543" s="284"/>
      <c r="K1543" s="284"/>
      <c r="L1543" s="284"/>
      <c r="M1543" s="284"/>
      <c r="N1543" s="284"/>
      <c r="O1543" s="284"/>
      <c r="P1543" s="284"/>
      <c r="Q1543" s="284"/>
      <c r="R1543" s="284"/>
      <c r="S1543" s="284"/>
      <c r="T1543" s="284"/>
      <c r="U1543" s="284"/>
      <c r="V1543" s="284"/>
      <c r="W1543" s="284"/>
    </row>
    <row r="1544" spans="2:23" x14ac:dyDescent="0.25">
      <c r="B1544" s="286">
        <v>86</v>
      </c>
      <c r="C1544" s="286">
        <v>100</v>
      </c>
      <c r="D1544" s="286">
        <v>86</v>
      </c>
      <c r="E1544" s="286">
        <v>100</v>
      </c>
      <c r="F1544" s="286">
        <f t="shared" si="162"/>
        <v>15</v>
      </c>
      <c r="G1544" s="284">
        <v>3</v>
      </c>
      <c r="H1544" s="286"/>
      <c r="I1544" s="284"/>
      <c r="J1544" s="284"/>
      <c r="K1544" s="284"/>
      <c r="L1544" s="284"/>
      <c r="M1544" s="284"/>
      <c r="N1544" s="284"/>
      <c r="O1544" s="284"/>
      <c r="P1544" s="284"/>
      <c r="Q1544" s="284"/>
      <c r="R1544" s="284"/>
      <c r="S1544" s="284"/>
      <c r="T1544" s="284"/>
      <c r="U1544" s="284"/>
      <c r="V1544" s="284"/>
      <c r="W1544" s="284"/>
    </row>
    <row r="1545" spans="2:23" x14ac:dyDescent="0.25">
      <c r="B1545" s="286">
        <v>101</v>
      </c>
      <c r="C1545" s="286">
        <v>110</v>
      </c>
      <c r="D1545" s="286">
        <v>101</v>
      </c>
      <c r="E1545" s="286">
        <v>110</v>
      </c>
      <c r="F1545" s="286">
        <f t="shared" si="162"/>
        <v>10</v>
      </c>
      <c r="G1545" s="284">
        <v>3</v>
      </c>
      <c r="H1545" s="286"/>
      <c r="I1545" s="284"/>
      <c r="J1545" s="284"/>
      <c r="K1545" s="284"/>
      <c r="L1545" s="284"/>
      <c r="M1545" s="284"/>
      <c r="N1545" s="284"/>
      <c r="O1545" s="284"/>
      <c r="P1545" s="284"/>
      <c r="Q1545" s="284"/>
      <c r="R1545" s="284"/>
      <c r="S1545" s="284"/>
      <c r="T1545" s="284"/>
      <c r="U1545" s="284"/>
      <c r="V1545" s="284"/>
      <c r="W1545" s="284"/>
    </row>
    <row r="1546" spans="2:23" x14ac:dyDescent="0.25">
      <c r="B1546" s="286">
        <v>111</v>
      </c>
      <c r="C1546" s="286">
        <v>120</v>
      </c>
      <c r="D1546" s="286">
        <v>111</v>
      </c>
      <c r="E1546" s="286">
        <v>124</v>
      </c>
      <c r="F1546" s="286">
        <f t="shared" si="162"/>
        <v>14</v>
      </c>
      <c r="G1546" s="284">
        <v>3</v>
      </c>
      <c r="H1546" s="286"/>
      <c r="I1546" s="284"/>
      <c r="J1546" s="284"/>
      <c r="K1546" s="284"/>
      <c r="L1546" s="284"/>
      <c r="M1546" s="284"/>
      <c r="N1546" s="284"/>
      <c r="O1546" s="284"/>
      <c r="P1546" s="284"/>
      <c r="Q1546" s="284"/>
      <c r="R1546" s="284"/>
      <c r="S1546" s="284"/>
      <c r="T1546" s="284"/>
      <c r="U1546" s="284"/>
      <c r="V1546" s="284"/>
      <c r="W1546" s="284"/>
    </row>
    <row r="1547" spans="2:23" x14ac:dyDescent="0.25">
      <c r="B1547" s="284"/>
      <c r="C1547" s="284"/>
      <c r="D1547" s="284"/>
      <c r="E1547" s="284"/>
      <c r="F1547" s="284"/>
      <c r="G1547" s="284"/>
      <c r="H1547" s="284"/>
      <c r="I1547" s="284"/>
      <c r="J1547" s="284"/>
      <c r="K1547" s="284"/>
      <c r="L1547" s="284"/>
      <c r="M1547" s="284"/>
      <c r="N1547" s="284"/>
      <c r="O1547" s="284"/>
      <c r="P1547" s="284"/>
      <c r="Q1547" s="284"/>
      <c r="R1547" s="284"/>
      <c r="S1547" s="284"/>
      <c r="T1547" s="284"/>
      <c r="U1547" s="284"/>
      <c r="V1547" s="284"/>
      <c r="W1547" s="284"/>
    </row>
    <row r="1548" spans="2:23" x14ac:dyDescent="0.25">
      <c r="B1548" s="386" t="s">
        <v>341</v>
      </c>
      <c r="C1548" s="386"/>
      <c r="D1548" s="386"/>
      <c r="E1548" s="386"/>
      <c r="F1548" s="386"/>
      <c r="G1548" s="286"/>
      <c r="H1548" s="286"/>
      <c r="I1548" s="284"/>
      <c r="J1548" s="284"/>
      <c r="K1548" s="284"/>
      <c r="L1548" s="284"/>
      <c r="M1548" s="284"/>
      <c r="N1548" s="284"/>
      <c r="O1548" s="284"/>
      <c r="P1548" s="284"/>
      <c r="Q1548" s="284"/>
      <c r="R1548" s="284"/>
      <c r="S1548" s="284"/>
      <c r="T1548" s="284"/>
      <c r="U1548" s="284"/>
      <c r="V1548" s="284"/>
      <c r="W1548" s="284"/>
    </row>
    <row r="1549" spans="2:23" x14ac:dyDescent="0.25">
      <c r="B1549" s="386" t="s">
        <v>254</v>
      </c>
      <c r="C1549" s="386"/>
      <c r="D1549" s="386" t="s">
        <v>254</v>
      </c>
      <c r="E1549" s="386"/>
      <c r="F1549" s="192" t="s">
        <v>313</v>
      </c>
      <c r="G1549" s="286" t="s">
        <v>314</v>
      </c>
      <c r="H1549" s="286" t="s">
        <v>316</v>
      </c>
      <c r="I1549" s="284"/>
      <c r="J1549" s="284"/>
      <c r="K1549" s="284"/>
      <c r="L1549" s="284"/>
      <c r="M1549" s="284"/>
      <c r="N1549" s="284"/>
      <c r="O1549" s="284"/>
      <c r="P1549" s="284"/>
      <c r="Q1549" s="284"/>
      <c r="R1549" s="284"/>
      <c r="S1549" s="284"/>
      <c r="T1549" s="284"/>
      <c r="U1549" s="284"/>
      <c r="V1549" s="284"/>
      <c r="W1549" s="284"/>
    </row>
    <row r="1550" spans="2:23" x14ac:dyDescent="0.25">
      <c r="B1550" s="286">
        <v>0</v>
      </c>
      <c r="C1550" s="286">
        <v>10</v>
      </c>
      <c r="D1550" s="286"/>
      <c r="E1550" s="286"/>
      <c r="F1550" s="286">
        <v>0</v>
      </c>
      <c r="G1550" s="284">
        <v>1.5</v>
      </c>
      <c r="H1550" s="286">
        <f>(F1550*G1550+F1551*G1551+F1552*G1552+F1553*G1553+F1554*G1554+F1555*G1555+F1556*G1556)/100</f>
        <v>2.87</v>
      </c>
      <c r="I1550" s="284"/>
      <c r="J1550" s="284"/>
      <c r="K1550" s="284"/>
      <c r="L1550" s="284"/>
      <c r="M1550" s="284"/>
      <c r="N1550" s="284"/>
      <c r="O1550" s="284"/>
      <c r="P1550" s="284"/>
      <c r="Q1550" s="284"/>
      <c r="R1550" s="284"/>
      <c r="S1550" s="284"/>
      <c r="T1550" s="284"/>
      <c r="U1550" s="284"/>
      <c r="V1550" s="284"/>
      <c r="W1550" s="284"/>
    </row>
    <row r="1551" spans="2:23" x14ac:dyDescent="0.25">
      <c r="B1551" s="286">
        <v>11</v>
      </c>
      <c r="C1551" s="286">
        <v>25</v>
      </c>
      <c r="D1551" s="286">
        <v>25</v>
      </c>
      <c r="E1551" s="286">
        <v>25</v>
      </c>
      <c r="F1551" s="286">
        <f t="shared" ref="F1551:F1556" si="163">E1551-D1551+1</f>
        <v>1</v>
      </c>
      <c r="G1551" s="284">
        <v>2</v>
      </c>
      <c r="H1551" s="286"/>
      <c r="I1551" s="284"/>
      <c r="J1551" s="284"/>
      <c r="K1551" s="284"/>
      <c r="L1551" s="284"/>
      <c r="M1551" s="284"/>
      <c r="N1551" s="284"/>
      <c r="O1551" s="284"/>
      <c r="P1551" s="284"/>
      <c r="Q1551" s="284"/>
      <c r="R1551" s="284"/>
      <c r="S1551" s="284"/>
      <c r="T1551" s="284"/>
      <c r="U1551" s="284"/>
      <c r="V1551" s="284"/>
      <c r="W1551" s="284"/>
    </row>
    <row r="1552" spans="2:23" x14ac:dyDescent="0.25">
      <c r="B1552" s="286">
        <v>26</v>
      </c>
      <c r="C1552" s="286">
        <v>55</v>
      </c>
      <c r="D1552" s="286">
        <v>26</v>
      </c>
      <c r="E1552" s="286">
        <v>55</v>
      </c>
      <c r="F1552" s="286">
        <f t="shared" si="163"/>
        <v>30</v>
      </c>
      <c r="G1552" s="284">
        <v>2.5</v>
      </c>
      <c r="H1552" s="286"/>
      <c r="I1552" s="284"/>
      <c r="J1552" s="284"/>
      <c r="K1552" s="284"/>
      <c r="L1552" s="284"/>
      <c r="M1552" s="284"/>
      <c r="N1552" s="284"/>
      <c r="O1552" s="284"/>
      <c r="P1552" s="284"/>
      <c r="Q1552" s="284"/>
      <c r="R1552" s="284"/>
      <c r="S1552" s="284"/>
      <c r="T1552" s="284"/>
      <c r="U1552" s="284"/>
      <c r="V1552" s="284"/>
      <c r="W1552" s="284"/>
    </row>
    <row r="1553" spans="2:23" x14ac:dyDescent="0.25">
      <c r="B1553" s="286">
        <v>56</v>
      </c>
      <c r="C1553" s="286">
        <v>85</v>
      </c>
      <c r="D1553" s="286">
        <v>56</v>
      </c>
      <c r="E1553" s="286">
        <v>85</v>
      </c>
      <c r="F1553" s="286">
        <f t="shared" si="163"/>
        <v>30</v>
      </c>
      <c r="G1553" s="284">
        <v>3</v>
      </c>
      <c r="H1553" s="286"/>
      <c r="I1553" s="284"/>
      <c r="J1553" s="284"/>
      <c r="K1553" s="284"/>
      <c r="L1553" s="284"/>
      <c r="M1553" s="284"/>
      <c r="N1553" s="284"/>
      <c r="O1553" s="284"/>
      <c r="P1553" s="284"/>
      <c r="Q1553" s="284"/>
      <c r="R1553" s="284"/>
      <c r="S1553" s="284"/>
      <c r="T1553" s="284"/>
      <c r="U1553" s="284"/>
      <c r="V1553" s="284"/>
      <c r="W1553" s="284"/>
    </row>
    <row r="1554" spans="2:23" x14ac:dyDescent="0.25">
      <c r="B1554" s="286">
        <v>86</v>
      </c>
      <c r="C1554" s="286">
        <v>100</v>
      </c>
      <c r="D1554" s="286">
        <v>86</v>
      </c>
      <c r="E1554" s="286">
        <v>100</v>
      </c>
      <c r="F1554" s="286">
        <f t="shared" si="163"/>
        <v>15</v>
      </c>
      <c r="G1554" s="284">
        <v>3</v>
      </c>
      <c r="H1554" s="286"/>
      <c r="I1554" s="284"/>
      <c r="J1554" s="284"/>
      <c r="K1554" s="284"/>
      <c r="L1554" s="284"/>
      <c r="M1554" s="284"/>
      <c r="N1554" s="284"/>
      <c r="O1554" s="284"/>
      <c r="P1554" s="284"/>
      <c r="Q1554" s="284"/>
      <c r="R1554" s="284"/>
      <c r="S1554" s="284"/>
      <c r="T1554" s="284"/>
      <c r="U1554" s="284"/>
      <c r="V1554" s="284"/>
      <c r="W1554" s="284"/>
    </row>
    <row r="1555" spans="2:23" x14ac:dyDescent="0.25">
      <c r="B1555" s="286">
        <v>101</v>
      </c>
      <c r="C1555" s="286">
        <v>110</v>
      </c>
      <c r="D1555" s="286">
        <v>101</v>
      </c>
      <c r="E1555" s="286">
        <v>110</v>
      </c>
      <c r="F1555" s="286">
        <f t="shared" si="163"/>
        <v>10</v>
      </c>
      <c r="G1555" s="284">
        <v>3</v>
      </c>
      <c r="H1555" s="286"/>
      <c r="I1555" s="284"/>
      <c r="J1555" s="284"/>
      <c r="K1555" s="284"/>
      <c r="L1555" s="284"/>
      <c r="M1555" s="284"/>
      <c r="N1555" s="284"/>
      <c r="O1555" s="284"/>
      <c r="P1555" s="284"/>
      <c r="Q1555" s="284"/>
      <c r="R1555" s="284"/>
      <c r="S1555" s="284"/>
      <c r="T1555" s="284"/>
      <c r="U1555" s="284"/>
      <c r="V1555" s="284"/>
      <c r="W1555" s="284"/>
    </row>
    <row r="1556" spans="2:23" x14ac:dyDescent="0.25">
      <c r="B1556" s="286">
        <v>111</v>
      </c>
      <c r="C1556" s="286">
        <v>120</v>
      </c>
      <c r="D1556" s="286">
        <v>111</v>
      </c>
      <c r="E1556" s="286">
        <v>125</v>
      </c>
      <c r="F1556" s="286">
        <f t="shared" si="163"/>
        <v>15</v>
      </c>
      <c r="G1556" s="284">
        <v>3</v>
      </c>
      <c r="H1556" s="286"/>
      <c r="I1556" s="284"/>
      <c r="J1556" s="284"/>
      <c r="K1556" s="284"/>
      <c r="L1556" s="284"/>
      <c r="M1556" s="284"/>
      <c r="N1556" s="284"/>
      <c r="O1556" s="284"/>
      <c r="P1556" s="284"/>
      <c r="Q1556" s="284"/>
      <c r="R1556" s="284"/>
      <c r="S1556" s="284"/>
      <c r="T1556" s="284"/>
      <c r="U1556" s="284"/>
      <c r="V1556" s="284"/>
      <c r="W1556" s="284"/>
    </row>
    <row r="1557" spans="2:23" x14ac:dyDescent="0.25">
      <c r="B1557" s="284"/>
      <c r="C1557" s="284"/>
      <c r="D1557" s="284"/>
      <c r="E1557" s="284"/>
      <c r="F1557" s="284"/>
      <c r="G1557" s="284"/>
      <c r="H1557" s="284"/>
      <c r="I1557" s="284"/>
      <c r="J1557" s="284"/>
      <c r="K1557" s="284"/>
      <c r="L1557" s="284"/>
      <c r="M1557" s="284"/>
      <c r="N1557" s="284"/>
      <c r="O1557" s="284"/>
      <c r="P1557" s="284"/>
      <c r="Q1557" s="284"/>
      <c r="R1557" s="284"/>
      <c r="S1557" s="284"/>
      <c r="T1557" s="284"/>
      <c r="U1557" s="284"/>
      <c r="V1557" s="284"/>
      <c r="W1557" s="284"/>
    </row>
    <row r="1558" spans="2:23" x14ac:dyDescent="0.25">
      <c r="B1558" s="386" t="s">
        <v>342</v>
      </c>
      <c r="C1558" s="386"/>
      <c r="D1558" s="386"/>
      <c r="E1558" s="386"/>
      <c r="F1558" s="386"/>
      <c r="G1558" s="286"/>
      <c r="H1558" s="286"/>
      <c r="I1558" s="284"/>
      <c r="J1558" s="284"/>
      <c r="K1558" s="284"/>
      <c r="L1558" s="284"/>
      <c r="M1558" s="284"/>
      <c r="N1558" s="284"/>
      <c r="O1558" s="284"/>
      <c r="P1558" s="284"/>
      <c r="Q1558" s="284"/>
      <c r="R1558" s="284"/>
      <c r="S1558" s="284"/>
      <c r="T1558" s="284"/>
      <c r="U1558" s="284"/>
      <c r="V1558" s="284"/>
      <c r="W1558" s="284"/>
    </row>
    <row r="1559" spans="2:23" x14ac:dyDescent="0.25">
      <c r="B1559" s="386" t="s">
        <v>254</v>
      </c>
      <c r="C1559" s="386"/>
      <c r="D1559" s="386" t="s">
        <v>254</v>
      </c>
      <c r="E1559" s="386"/>
      <c r="F1559" s="192" t="s">
        <v>313</v>
      </c>
      <c r="G1559" s="286" t="s">
        <v>314</v>
      </c>
      <c r="H1559" s="286" t="s">
        <v>316</v>
      </c>
      <c r="I1559" s="284"/>
      <c r="J1559" s="284"/>
      <c r="K1559" s="284"/>
      <c r="L1559" s="284"/>
      <c r="M1559" s="284"/>
      <c r="N1559" s="284"/>
      <c r="O1559" s="284"/>
      <c r="P1559" s="284"/>
      <c r="Q1559" s="284"/>
      <c r="R1559" s="284"/>
      <c r="S1559" s="284"/>
      <c r="T1559" s="284"/>
      <c r="U1559" s="284"/>
      <c r="V1559" s="284"/>
      <c r="W1559" s="284"/>
    </row>
    <row r="1560" spans="2:23" x14ac:dyDescent="0.25">
      <c r="B1560" s="286">
        <v>0</v>
      </c>
      <c r="C1560" s="286">
        <v>10</v>
      </c>
      <c r="D1560" s="286"/>
      <c r="E1560" s="286"/>
      <c r="F1560" s="286">
        <v>0</v>
      </c>
      <c r="G1560" s="284">
        <v>1.5</v>
      </c>
      <c r="H1560" s="286">
        <f>(F1560*G1560+F1561*G1561+F1562*G1562+F1563*G1563+F1564*G1564+F1565*G1565+F1566*G1566)/100</f>
        <v>2.88</v>
      </c>
      <c r="I1560" s="284"/>
      <c r="J1560" s="284"/>
      <c r="K1560" s="284"/>
      <c r="L1560" s="284"/>
      <c r="M1560" s="284"/>
      <c r="N1560" s="284"/>
      <c r="O1560" s="284"/>
      <c r="P1560" s="284"/>
      <c r="Q1560" s="284"/>
      <c r="R1560" s="284"/>
      <c r="S1560" s="284"/>
      <c r="T1560" s="284"/>
      <c r="U1560" s="284"/>
      <c r="V1560" s="284"/>
      <c r="W1560" s="284"/>
    </row>
    <row r="1561" spans="2:23" x14ac:dyDescent="0.25">
      <c r="B1561" s="286">
        <v>11</v>
      </c>
      <c r="C1561" s="286">
        <v>25</v>
      </c>
      <c r="D1561" s="286"/>
      <c r="E1561" s="286"/>
      <c r="F1561" s="286">
        <v>0</v>
      </c>
      <c r="G1561" s="284">
        <v>2</v>
      </c>
      <c r="H1561" s="286"/>
      <c r="I1561" s="284"/>
      <c r="J1561" s="284"/>
      <c r="K1561" s="284"/>
      <c r="L1561" s="284"/>
      <c r="M1561" s="284"/>
      <c r="N1561" s="284"/>
      <c r="O1561" s="284"/>
      <c r="P1561" s="284"/>
      <c r="Q1561" s="284"/>
      <c r="R1561" s="284"/>
      <c r="S1561" s="284"/>
      <c r="T1561" s="284"/>
      <c r="U1561" s="284"/>
      <c r="V1561" s="284"/>
      <c r="W1561" s="284"/>
    </row>
    <row r="1562" spans="2:23" x14ac:dyDescent="0.25">
      <c r="B1562" s="286">
        <v>26</v>
      </c>
      <c r="C1562" s="286">
        <v>55</v>
      </c>
      <c r="D1562" s="286">
        <v>26</v>
      </c>
      <c r="E1562" s="286">
        <v>55</v>
      </c>
      <c r="F1562" s="286">
        <f t="shared" ref="F1562:F1566" si="164">E1562-D1562+1</f>
        <v>30</v>
      </c>
      <c r="G1562" s="284">
        <v>2.5</v>
      </c>
      <c r="H1562" s="286"/>
      <c r="I1562" s="284"/>
      <c r="J1562" s="284"/>
      <c r="K1562" s="284"/>
      <c r="L1562" s="284"/>
      <c r="M1562" s="284"/>
      <c r="N1562" s="284"/>
      <c r="O1562" s="284"/>
      <c r="P1562" s="284"/>
      <c r="Q1562" s="284"/>
      <c r="R1562" s="284"/>
      <c r="S1562" s="284"/>
      <c r="T1562" s="284"/>
      <c r="U1562" s="284"/>
      <c r="V1562" s="284"/>
      <c r="W1562" s="284"/>
    </row>
    <row r="1563" spans="2:23" x14ac:dyDescent="0.25">
      <c r="B1563" s="286">
        <v>56</v>
      </c>
      <c r="C1563" s="286">
        <v>85</v>
      </c>
      <c r="D1563" s="286">
        <v>56</v>
      </c>
      <c r="E1563" s="286">
        <v>85</v>
      </c>
      <c r="F1563" s="286">
        <f t="shared" si="164"/>
        <v>30</v>
      </c>
      <c r="G1563" s="284">
        <v>3</v>
      </c>
      <c r="H1563" s="286"/>
      <c r="I1563" s="284"/>
      <c r="J1563" s="284"/>
      <c r="K1563" s="284"/>
      <c r="L1563" s="284"/>
      <c r="M1563" s="284"/>
      <c r="N1563" s="284"/>
      <c r="O1563" s="284"/>
      <c r="P1563" s="284"/>
      <c r="Q1563" s="284"/>
      <c r="R1563" s="284"/>
      <c r="S1563" s="284"/>
      <c r="T1563" s="284"/>
      <c r="U1563" s="284"/>
      <c r="V1563" s="284"/>
      <c r="W1563" s="284"/>
    </row>
    <row r="1564" spans="2:23" x14ac:dyDescent="0.25">
      <c r="B1564" s="286">
        <v>86</v>
      </c>
      <c r="C1564" s="286">
        <v>100</v>
      </c>
      <c r="D1564" s="286">
        <v>86</v>
      </c>
      <c r="E1564" s="286">
        <v>100</v>
      </c>
      <c r="F1564" s="286">
        <f t="shared" si="164"/>
        <v>15</v>
      </c>
      <c r="G1564" s="284">
        <v>3</v>
      </c>
      <c r="H1564" s="286"/>
      <c r="I1564" s="284"/>
      <c r="J1564" s="284"/>
      <c r="K1564" s="284"/>
      <c r="L1564" s="284"/>
      <c r="M1564" s="284"/>
      <c r="N1564" s="284"/>
      <c r="O1564" s="284"/>
      <c r="P1564" s="284"/>
      <c r="Q1564" s="284"/>
      <c r="R1564" s="284"/>
      <c r="S1564" s="284"/>
      <c r="T1564" s="284"/>
      <c r="U1564" s="284"/>
      <c r="V1564" s="284"/>
      <c r="W1564" s="284"/>
    </row>
    <row r="1565" spans="2:23" x14ac:dyDescent="0.25">
      <c r="B1565" s="286">
        <v>101</v>
      </c>
      <c r="C1565" s="286">
        <v>110</v>
      </c>
      <c r="D1565" s="286">
        <v>101</v>
      </c>
      <c r="E1565" s="286">
        <v>110</v>
      </c>
      <c r="F1565" s="286">
        <f t="shared" si="164"/>
        <v>10</v>
      </c>
      <c r="G1565" s="284">
        <v>3</v>
      </c>
      <c r="H1565" s="286"/>
      <c r="I1565" s="284"/>
      <c r="J1565" s="284"/>
      <c r="K1565" s="284"/>
      <c r="L1565" s="284"/>
      <c r="M1565" s="284"/>
      <c r="N1565" s="284"/>
      <c r="O1565" s="284"/>
      <c r="P1565" s="284"/>
      <c r="Q1565" s="284"/>
      <c r="R1565" s="284"/>
      <c r="S1565" s="284"/>
      <c r="T1565" s="284"/>
      <c r="U1565" s="284"/>
      <c r="V1565" s="284"/>
      <c r="W1565" s="284"/>
    </row>
    <row r="1566" spans="2:23" x14ac:dyDescent="0.25">
      <c r="B1566" s="286">
        <v>111</v>
      </c>
      <c r="C1566" s="286">
        <v>120</v>
      </c>
      <c r="D1566" s="286">
        <v>111</v>
      </c>
      <c r="E1566" s="286">
        <v>126</v>
      </c>
      <c r="F1566" s="286">
        <f t="shared" si="164"/>
        <v>16</v>
      </c>
      <c r="G1566" s="284">
        <v>3</v>
      </c>
      <c r="H1566" s="286"/>
      <c r="I1566" s="284"/>
      <c r="J1566" s="284"/>
      <c r="K1566" s="284"/>
      <c r="L1566" s="284"/>
      <c r="M1566" s="284"/>
      <c r="N1566" s="284"/>
      <c r="O1566" s="284"/>
      <c r="P1566" s="284"/>
      <c r="Q1566" s="284"/>
      <c r="R1566" s="284"/>
      <c r="S1566" s="284"/>
      <c r="T1566" s="284"/>
      <c r="U1566" s="284"/>
      <c r="V1566" s="284"/>
      <c r="W1566" s="284"/>
    </row>
    <row r="1567" spans="2:23" x14ac:dyDescent="0.25">
      <c r="B1567" s="284"/>
      <c r="C1567" s="284"/>
      <c r="D1567" s="284"/>
      <c r="E1567" s="284"/>
      <c r="F1567" s="284"/>
      <c r="G1567" s="284"/>
      <c r="H1567" s="284"/>
      <c r="I1567" s="284"/>
      <c r="J1567" s="284"/>
      <c r="K1567" s="284"/>
      <c r="L1567" s="284"/>
      <c r="M1567" s="284"/>
      <c r="N1567" s="284"/>
      <c r="O1567" s="284"/>
      <c r="P1567" s="284"/>
      <c r="Q1567" s="284"/>
      <c r="R1567" s="284"/>
      <c r="S1567" s="284"/>
      <c r="T1567" s="284"/>
      <c r="U1567" s="284"/>
      <c r="V1567" s="284"/>
      <c r="W1567" s="284"/>
    </row>
    <row r="1568" spans="2:23" x14ac:dyDescent="0.25">
      <c r="B1568" s="386" t="s">
        <v>343</v>
      </c>
      <c r="C1568" s="386"/>
      <c r="D1568" s="386"/>
      <c r="E1568" s="386"/>
      <c r="F1568" s="386"/>
      <c r="G1568" s="286"/>
      <c r="H1568" s="286"/>
      <c r="I1568" s="284"/>
      <c r="J1568" s="284"/>
      <c r="K1568" s="284"/>
      <c r="L1568" s="284"/>
      <c r="M1568" s="284"/>
      <c r="N1568" s="284"/>
      <c r="O1568" s="284"/>
      <c r="P1568" s="284"/>
      <c r="Q1568" s="284"/>
      <c r="R1568" s="284"/>
      <c r="S1568" s="284"/>
      <c r="T1568" s="284"/>
      <c r="U1568" s="284"/>
      <c r="V1568" s="284"/>
      <c r="W1568" s="284"/>
    </row>
    <row r="1569" spans="2:23" x14ac:dyDescent="0.25">
      <c r="B1569" s="386" t="s">
        <v>254</v>
      </c>
      <c r="C1569" s="386"/>
      <c r="D1569" s="386" t="s">
        <v>254</v>
      </c>
      <c r="E1569" s="386"/>
      <c r="F1569" s="192" t="s">
        <v>313</v>
      </c>
      <c r="G1569" s="286" t="s">
        <v>314</v>
      </c>
      <c r="H1569" s="286" t="s">
        <v>316</v>
      </c>
      <c r="I1569" s="284"/>
      <c r="J1569" s="284"/>
      <c r="K1569" s="284"/>
      <c r="L1569" s="284"/>
      <c r="M1569" s="284"/>
      <c r="N1569" s="284"/>
      <c r="O1569" s="284"/>
      <c r="P1569" s="284"/>
      <c r="Q1569" s="284"/>
      <c r="R1569" s="284"/>
      <c r="S1569" s="284"/>
      <c r="T1569" s="284"/>
      <c r="U1569" s="284"/>
      <c r="V1569" s="284"/>
      <c r="W1569" s="284"/>
    </row>
    <row r="1570" spans="2:23" x14ac:dyDescent="0.25">
      <c r="B1570" s="286">
        <v>0</v>
      </c>
      <c r="C1570" s="286">
        <v>10</v>
      </c>
      <c r="D1570" s="286"/>
      <c r="E1570" s="286"/>
      <c r="F1570" s="286">
        <v>0</v>
      </c>
      <c r="G1570" s="284">
        <v>1.5</v>
      </c>
      <c r="H1570" s="286">
        <f>(F1570*G1570+F1571*G1571+F1572*G1572+F1573*G1573+F1574*G1574+F1575*G1575+F1576*G1576)/100</f>
        <v>2.8849999999999998</v>
      </c>
      <c r="I1570" s="284"/>
      <c r="J1570" s="284"/>
      <c r="K1570" s="284"/>
      <c r="L1570" s="284"/>
      <c r="M1570" s="284"/>
      <c r="N1570" s="284"/>
      <c r="O1570" s="284"/>
      <c r="P1570" s="284"/>
      <c r="Q1570" s="284"/>
      <c r="R1570" s="284"/>
      <c r="S1570" s="284"/>
      <c r="T1570" s="284"/>
      <c r="U1570" s="284"/>
      <c r="V1570" s="284"/>
      <c r="W1570" s="284"/>
    </row>
    <row r="1571" spans="2:23" x14ac:dyDescent="0.25">
      <c r="B1571" s="286">
        <v>11</v>
      </c>
      <c r="C1571" s="286">
        <v>25</v>
      </c>
      <c r="D1571" s="286"/>
      <c r="E1571" s="286"/>
      <c r="F1571" s="286">
        <v>0</v>
      </c>
      <c r="G1571" s="284">
        <v>2</v>
      </c>
      <c r="H1571" s="286"/>
      <c r="I1571" s="284"/>
      <c r="J1571" s="284"/>
      <c r="K1571" s="284"/>
      <c r="L1571" s="284"/>
      <c r="M1571" s="284"/>
      <c r="N1571" s="284"/>
      <c r="O1571" s="284"/>
      <c r="P1571" s="284"/>
      <c r="Q1571" s="284"/>
      <c r="R1571" s="284"/>
      <c r="S1571" s="284"/>
      <c r="T1571" s="284"/>
      <c r="U1571" s="284"/>
      <c r="V1571" s="284"/>
      <c r="W1571" s="284"/>
    </row>
    <row r="1572" spans="2:23" x14ac:dyDescent="0.25">
      <c r="B1572" s="286">
        <v>26</v>
      </c>
      <c r="C1572" s="286">
        <v>55</v>
      </c>
      <c r="D1572" s="286">
        <v>27</v>
      </c>
      <c r="E1572" s="286">
        <v>55</v>
      </c>
      <c r="F1572" s="286">
        <f t="shared" ref="F1572:F1576" si="165">E1572-D1572+1</f>
        <v>29</v>
      </c>
      <c r="G1572" s="284">
        <v>2.5</v>
      </c>
      <c r="H1572" s="286"/>
      <c r="I1572" s="284"/>
      <c r="J1572" s="284"/>
      <c r="K1572" s="284"/>
      <c r="L1572" s="284"/>
      <c r="M1572" s="284"/>
      <c r="N1572" s="284"/>
      <c r="O1572" s="284"/>
      <c r="P1572" s="284"/>
      <c r="Q1572" s="284"/>
      <c r="R1572" s="284"/>
      <c r="S1572" s="284"/>
      <c r="T1572" s="284"/>
      <c r="U1572" s="284"/>
      <c r="V1572" s="284"/>
      <c r="W1572" s="284"/>
    </row>
    <row r="1573" spans="2:23" x14ac:dyDescent="0.25">
      <c r="B1573" s="286">
        <v>56</v>
      </c>
      <c r="C1573" s="286">
        <v>85</v>
      </c>
      <c r="D1573" s="286">
        <v>56</v>
      </c>
      <c r="E1573" s="286">
        <v>85</v>
      </c>
      <c r="F1573" s="286">
        <f t="shared" si="165"/>
        <v>30</v>
      </c>
      <c r="G1573" s="284">
        <v>3</v>
      </c>
      <c r="H1573" s="286"/>
      <c r="I1573" s="284"/>
      <c r="J1573" s="284"/>
      <c r="K1573" s="284"/>
      <c r="L1573" s="284"/>
      <c r="M1573" s="284"/>
      <c r="N1573" s="284"/>
      <c r="O1573" s="284"/>
      <c r="P1573" s="284"/>
      <c r="Q1573" s="284"/>
      <c r="R1573" s="284"/>
      <c r="S1573" s="284"/>
      <c r="T1573" s="284"/>
      <c r="U1573" s="284"/>
      <c r="V1573" s="284"/>
      <c r="W1573" s="284"/>
    </row>
    <row r="1574" spans="2:23" x14ac:dyDescent="0.25">
      <c r="B1574" s="286">
        <v>86</v>
      </c>
      <c r="C1574" s="286">
        <v>100</v>
      </c>
      <c r="D1574" s="286">
        <v>86</v>
      </c>
      <c r="E1574" s="286">
        <v>100</v>
      </c>
      <c r="F1574" s="286">
        <f t="shared" si="165"/>
        <v>15</v>
      </c>
      <c r="G1574" s="284">
        <v>3</v>
      </c>
      <c r="H1574" s="286"/>
      <c r="I1574" s="284"/>
      <c r="J1574" s="284"/>
      <c r="K1574" s="284"/>
      <c r="L1574" s="284"/>
      <c r="M1574" s="284"/>
      <c r="N1574" s="284"/>
      <c r="O1574" s="284"/>
      <c r="P1574" s="284"/>
      <c r="Q1574" s="284"/>
      <c r="R1574" s="284"/>
      <c r="S1574" s="284"/>
      <c r="T1574" s="284"/>
      <c r="U1574" s="284"/>
      <c r="V1574" s="284"/>
      <c r="W1574" s="284"/>
    </row>
    <row r="1575" spans="2:23" x14ac:dyDescent="0.25">
      <c r="B1575" s="286">
        <v>101</v>
      </c>
      <c r="C1575" s="286">
        <v>110</v>
      </c>
      <c r="D1575" s="286">
        <v>101</v>
      </c>
      <c r="E1575" s="286">
        <v>110</v>
      </c>
      <c r="F1575" s="286">
        <f t="shared" si="165"/>
        <v>10</v>
      </c>
      <c r="G1575" s="284">
        <v>3</v>
      </c>
      <c r="H1575" s="286"/>
      <c r="I1575" s="284"/>
      <c r="J1575" s="284"/>
      <c r="K1575" s="284"/>
      <c r="L1575" s="284"/>
      <c r="M1575" s="284"/>
      <c r="N1575" s="284"/>
      <c r="O1575" s="284"/>
      <c r="P1575" s="284"/>
      <c r="Q1575" s="284"/>
      <c r="R1575" s="284"/>
      <c r="S1575" s="284"/>
      <c r="T1575" s="284"/>
      <c r="U1575" s="284"/>
      <c r="V1575" s="284"/>
      <c r="W1575" s="284"/>
    </row>
    <row r="1576" spans="2:23" x14ac:dyDescent="0.25">
      <c r="B1576" s="286">
        <v>111</v>
      </c>
      <c r="C1576" s="286">
        <v>120</v>
      </c>
      <c r="D1576" s="286">
        <v>111</v>
      </c>
      <c r="E1576" s="286">
        <v>127</v>
      </c>
      <c r="F1576" s="286">
        <f t="shared" si="165"/>
        <v>17</v>
      </c>
      <c r="G1576" s="284">
        <v>3</v>
      </c>
      <c r="H1576" s="286"/>
      <c r="I1576" s="284"/>
      <c r="J1576" s="284"/>
      <c r="K1576" s="284"/>
      <c r="L1576" s="284"/>
      <c r="M1576" s="284"/>
      <c r="N1576" s="284"/>
      <c r="O1576" s="284"/>
      <c r="P1576" s="284"/>
      <c r="Q1576" s="284"/>
      <c r="R1576" s="284"/>
      <c r="S1576" s="284"/>
      <c r="T1576" s="284"/>
      <c r="U1576" s="284"/>
      <c r="V1576" s="284"/>
      <c r="W1576" s="284"/>
    </row>
    <row r="1577" spans="2:23" x14ac:dyDescent="0.25">
      <c r="B1577" s="284"/>
      <c r="C1577" s="284"/>
      <c r="D1577" s="284"/>
      <c r="E1577" s="284"/>
      <c r="F1577" s="284"/>
      <c r="G1577" s="284"/>
      <c r="H1577" s="284"/>
      <c r="I1577" s="284"/>
      <c r="J1577" s="284"/>
      <c r="K1577" s="284"/>
      <c r="L1577" s="284"/>
      <c r="M1577" s="284"/>
      <c r="N1577" s="284"/>
      <c r="O1577" s="284"/>
      <c r="P1577" s="284"/>
      <c r="Q1577" s="284"/>
      <c r="R1577" s="284"/>
      <c r="S1577" s="284"/>
      <c r="T1577" s="284"/>
      <c r="U1577" s="284"/>
      <c r="V1577" s="284"/>
      <c r="W1577" s="284"/>
    </row>
    <row r="1578" spans="2:23" x14ac:dyDescent="0.25">
      <c r="B1578" s="386" t="s">
        <v>344</v>
      </c>
      <c r="C1578" s="386"/>
      <c r="D1578" s="386"/>
      <c r="E1578" s="386"/>
      <c r="F1578" s="386"/>
      <c r="G1578" s="286"/>
      <c r="H1578" s="286"/>
      <c r="I1578" s="284"/>
      <c r="J1578" s="284"/>
      <c r="K1578" s="284"/>
      <c r="L1578" s="284"/>
      <c r="M1578" s="284"/>
      <c r="N1578" s="284"/>
      <c r="O1578" s="284"/>
      <c r="P1578" s="284"/>
      <c r="Q1578" s="284"/>
      <c r="R1578" s="284"/>
      <c r="S1578" s="284"/>
      <c r="T1578" s="284"/>
      <c r="U1578" s="284"/>
      <c r="V1578" s="284"/>
      <c r="W1578" s="284"/>
    </row>
    <row r="1579" spans="2:23" x14ac:dyDescent="0.25">
      <c r="B1579" s="386" t="s">
        <v>254</v>
      </c>
      <c r="C1579" s="386"/>
      <c r="D1579" s="386" t="s">
        <v>254</v>
      </c>
      <c r="E1579" s="386"/>
      <c r="F1579" s="192" t="s">
        <v>313</v>
      </c>
      <c r="G1579" s="286" t="s">
        <v>314</v>
      </c>
      <c r="H1579" s="286" t="s">
        <v>316</v>
      </c>
      <c r="I1579" s="284"/>
      <c r="J1579" s="284"/>
      <c r="K1579" s="284"/>
      <c r="L1579" s="284"/>
      <c r="M1579" s="284"/>
      <c r="N1579" s="284"/>
      <c r="O1579" s="284"/>
      <c r="P1579" s="284"/>
      <c r="Q1579" s="284"/>
      <c r="R1579" s="284"/>
      <c r="S1579" s="284"/>
      <c r="T1579" s="284"/>
      <c r="U1579" s="284"/>
      <c r="V1579" s="284"/>
      <c r="W1579" s="284"/>
    </row>
    <row r="1580" spans="2:23" x14ac:dyDescent="0.25">
      <c r="B1580" s="286">
        <v>0</v>
      </c>
      <c r="C1580" s="286">
        <v>10</v>
      </c>
      <c r="D1580" s="286"/>
      <c r="E1580" s="286"/>
      <c r="F1580" s="286">
        <v>0</v>
      </c>
      <c r="G1580" s="284">
        <v>1.5</v>
      </c>
      <c r="H1580" s="286">
        <f>(F1580*G1580+F1581*G1581+F1582*G1582+F1583*G1583+F1584*G1584+F1585*G1585+F1586*G1586)/100</f>
        <v>2.89</v>
      </c>
      <c r="I1580" s="284"/>
      <c r="J1580" s="284"/>
      <c r="K1580" s="284"/>
      <c r="L1580" s="284"/>
      <c r="M1580" s="284"/>
      <c r="N1580" s="284"/>
      <c r="O1580" s="284"/>
      <c r="P1580" s="284"/>
      <c r="Q1580" s="284"/>
      <c r="R1580" s="284"/>
      <c r="S1580" s="284"/>
      <c r="T1580" s="284"/>
      <c r="U1580" s="284"/>
      <c r="V1580" s="284"/>
      <c r="W1580" s="284"/>
    </row>
    <row r="1581" spans="2:23" x14ac:dyDescent="0.25">
      <c r="B1581" s="286">
        <v>11</v>
      </c>
      <c r="C1581" s="286">
        <v>25</v>
      </c>
      <c r="D1581" s="286"/>
      <c r="E1581" s="286"/>
      <c r="F1581" s="286">
        <v>0</v>
      </c>
      <c r="G1581" s="284">
        <v>2</v>
      </c>
      <c r="H1581" s="286"/>
      <c r="I1581" s="284"/>
      <c r="J1581" s="284"/>
      <c r="K1581" s="284"/>
      <c r="L1581" s="284"/>
      <c r="M1581" s="284"/>
      <c r="N1581" s="284"/>
      <c r="O1581" s="284"/>
      <c r="P1581" s="284"/>
      <c r="Q1581" s="284"/>
      <c r="R1581" s="284"/>
      <c r="S1581" s="284"/>
      <c r="T1581" s="284"/>
      <c r="U1581" s="284"/>
      <c r="V1581" s="284"/>
      <c r="W1581" s="284"/>
    </row>
    <row r="1582" spans="2:23" x14ac:dyDescent="0.25">
      <c r="B1582" s="286">
        <v>26</v>
      </c>
      <c r="C1582" s="286">
        <v>55</v>
      </c>
      <c r="D1582" s="286">
        <v>28</v>
      </c>
      <c r="E1582" s="286">
        <v>55</v>
      </c>
      <c r="F1582" s="286">
        <f t="shared" ref="F1582:F1586" si="166">E1582-D1582+1</f>
        <v>28</v>
      </c>
      <c r="G1582" s="284">
        <v>2.5</v>
      </c>
      <c r="H1582" s="286"/>
      <c r="I1582" s="284"/>
      <c r="J1582" s="284"/>
      <c r="K1582" s="284"/>
      <c r="L1582" s="284"/>
      <c r="M1582" s="284"/>
      <c r="N1582" s="284"/>
      <c r="O1582" s="284"/>
      <c r="P1582" s="284"/>
      <c r="Q1582" s="284"/>
      <c r="R1582" s="284"/>
      <c r="S1582" s="284"/>
      <c r="T1582" s="284"/>
      <c r="U1582" s="284"/>
      <c r="V1582" s="284"/>
      <c r="W1582" s="284"/>
    </row>
    <row r="1583" spans="2:23" x14ac:dyDescent="0.25">
      <c r="B1583" s="286">
        <v>56</v>
      </c>
      <c r="C1583" s="286">
        <v>85</v>
      </c>
      <c r="D1583" s="286">
        <v>56</v>
      </c>
      <c r="E1583" s="286">
        <v>85</v>
      </c>
      <c r="F1583" s="286">
        <f t="shared" si="166"/>
        <v>30</v>
      </c>
      <c r="G1583" s="284">
        <v>3</v>
      </c>
      <c r="H1583" s="286"/>
      <c r="I1583" s="284"/>
      <c r="J1583" s="284"/>
      <c r="K1583" s="284"/>
      <c r="L1583" s="284"/>
      <c r="M1583" s="284"/>
      <c r="N1583" s="284"/>
      <c r="O1583" s="284"/>
      <c r="P1583" s="284"/>
      <c r="Q1583" s="284"/>
      <c r="R1583" s="284"/>
      <c r="S1583" s="284"/>
      <c r="T1583" s="284"/>
      <c r="U1583" s="284"/>
      <c r="V1583" s="284"/>
      <c r="W1583" s="284"/>
    </row>
    <row r="1584" spans="2:23" x14ac:dyDescent="0.25">
      <c r="B1584" s="286">
        <v>86</v>
      </c>
      <c r="C1584" s="286">
        <v>100</v>
      </c>
      <c r="D1584" s="286">
        <v>86</v>
      </c>
      <c r="E1584" s="286">
        <v>100</v>
      </c>
      <c r="F1584" s="286">
        <f t="shared" si="166"/>
        <v>15</v>
      </c>
      <c r="G1584" s="284">
        <v>3</v>
      </c>
      <c r="H1584" s="286"/>
      <c r="I1584" s="284"/>
      <c r="J1584" s="284"/>
      <c r="K1584" s="284"/>
      <c r="L1584" s="284"/>
      <c r="M1584" s="284"/>
      <c r="N1584" s="284"/>
      <c r="O1584" s="284"/>
      <c r="P1584" s="284"/>
      <c r="Q1584" s="284"/>
      <c r="R1584" s="284"/>
      <c r="S1584" s="284"/>
      <c r="T1584" s="284"/>
      <c r="U1584" s="284"/>
      <c r="V1584" s="284"/>
      <c r="W1584" s="284"/>
    </row>
    <row r="1585" spans="2:23" x14ac:dyDescent="0.25">
      <c r="B1585" s="286">
        <v>101</v>
      </c>
      <c r="C1585" s="286">
        <v>110</v>
      </c>
      <c r="D1585" s="286">
        <v>101</v>
      </c>
      <c r="E1585" s="286">
        <v>110</v>
      </c>
      <c r="F1585" s="286">
        <f t="shared" si="166"/>
        <v>10</v>
      </c>
      <c r="G1585" s="284">
        <v>3</v>
      </c>
      <c r="H1585" s="286"/>
      <c r="I1585" s="284"/>
      <c r="J1585" s="284"/>
      <c r="K1585" s="284"/>
      <c r="L1585" s="284"/>
      <c r="M1585" s="284"/>
      <c r="N1585" s="284"/>
      <c r="O1585" s="284"/>
      <c r="P1585" s="284"/>
      <c r="Q1585" s="284"/>
      <c r="R1585" s="284"/>
      <c r="S1585" s="284"/>
      <c r="T1585" s="284"/>
      <c r="U1585" s="284"/>
      <c r="V1585" s="284"/>
      <c r="W1585" s="284"/>
    </row>
    <row r="1586" spans="2:23" x14ac:dyDescent="0.25">
      <c r="B1586" s="286">
        <v>111</v>
      </c>
      <c r="C1586" s="286">
        <v>120</v>
      </c>
      <c r="D1586" s="286">
        <v>111</v>
      </c>
      <c r="E1586" s="286">
        <v>128</v>
      </c>
      <c r="F1586" s="286">
        <f t="shared" si="166"/>
        <v>18</v>
      </c>
      <c r="G1586" s="284">
        <v>3</v>
      </c>
      <c r="H1586" s="286"/>
      <c r="I1586" s="284"/>
      <c r="J1586" s="284"/>
      <c r="K1586" s="284"/>
      <c r="L1586" s="284"/>
      <c r="M1586" s="284"/>
      <c r="N1586" s="284"/>
      <c r="O1586" s="284"/>
      <c r="P1586" s="284"/>
      <c r="Q1586" s="284"/>
      <c r="R1586" s="284"/>
      <c r="S1586" s="284"/>
      <c r="T1586" s="284"/>
      <c r="U1586" s="284"/>
      <c r="V1586" s="284"/>
      <c r="W1586" s="284"/>
    </row>
    <row r="1587" spans="2:23" x14ac:dyDescent="0.25">
      <c r="B1587" s="284"/>
      <c r="C1587" s="284"/>
      <c r="D1587" s="284"/>
      <c r="E1587" s="284"/>
      <c r="F1587" s="284"/>
      <c r="G1587" s="284"/>
      <c r="H1587" s="284"/>
      <c r="I1587" s="284"/>
      <c r="J1587" s="284"/>
      <c r="K1587" s="284"/>
      <c r="L1587" s="284"/>
      <c r="M1587" s="284"/>
      <c r="N1587" s="284"/>
      <c r="O1587" s="284"/>
      <c r="P1587" s="284"/>
      <c r="Q1587" s="284"/>
      <c r="R1587" s="284"/>
      <c r="S1587" s="284"/>
      <c r="T1587" s="284"/>
      <c r="U1587" s="284"/>
      <c r="V1587" s="284"/>
      <c r="W1587" s="284"/>
    </row>
    <row r="1588" spans="2:23" x14ac:dyDescent="0.25">
      <c r="B1588" s="386" t="s">
        <v>345</v>
      </c>
      <c r="C1588" s="386"/>
      <c r="D1588" s="386"/>
      <c r="E1588" s="386"/>
      <c r="F1588" s="386"/>
      <c r="G1588" s="286"/>
      <c r="H1588" s="286"/>
      <c r="I1588" s="284"/>
      <c r="J1588" s="284"/>
      <c r="K1588" s="284"/>
      <c r="L1588" s="284"/>
      <c r="M1588" s="284"/>
      <c r="N1588" s="284"/>
      <c r="O1588" s="284"/>
      <c r="P1588" s="284"/>
      <c r="Q1588" s="284"/>
      <c r="R1588" s="284"/>
      <c r="S1588" s="284"/>
      <c r="T1588" s="284"/>
      <c r="U1588" s="284"/>
      <c r="V1588" s="284"/>
      <c r="W1588" s="284"/>
    </row>
    <row r="1589" spans="2:23" x14ac:dyDescent="0.25">
      <c r="B1589" s="386" t="s">
        <v>254</v>
      </c>
      <c r="C1589" s="386"/>
      <c r="D1589" s="386" t="s">
        <v>254</v>
      </c>
      <c r="E1589" s="386"/>
      <c r="F1589" s="192" t="s">
        <v>313</v>
      </c>
      <c r="G1589" s="286" t="s">
        <v>314</v>
      </c>
      <c r="H1589" s="286" t="s">
        <v>316</v>
      </c>
      <c r="I1589" s="284"/>
      <c r="J1589" s="284"/>
      <c r="K1589" s="284"/>
      <c r="L1589" s="284"/>
      <c r="M1589" s="284"/>
      <c r="N1589" s="284"/>
      <c r="O1589" s="284"/>
      <c r="P1589" s="284"/>
      <c r="Q1589" s="284"/>
      <c r="R1589" s="284"/>
      <c r="S1589" s="284"/>
      <c r="T1589" s="284"/>
      <c r="U1589" s="284"/>
      <c r="V1589" s="284"/>
      <c r="W1589" s="284"/>
    </row>
    <row r="1590" spans="2:23" x14ac:dyDescent="0.25">
      <c r="B1590" s="286">
        <v>0</v>
      </c>
      <c r="C1590" s="286">
        <v>10</v>
      </c>
      <c r="D1590" s="286"/>
      <c r="E1590" s="286"/>
      <c r="F1590" s="286">
        <v>0</v>
      </c>
      <c r="G1590" s="284">
        <v>1.5</v>
      </c>
      <c r="H1590" s="286">
        <f>(F1590*G1590+F1591*G1591+F1592*G1592+F1593*G1593+F1594*G1594+F1595*G1595+F1596*G1596)/100</f>
        <v>2.895</v>
      </c>
      <c r="I1590" s="284"/>
      <c r="J1590" s="284"/>
      <c r="K1590" s="284"/>
      <c r="L1590" s="284"/>
      <c r="M1590" s="284"/>
      <c r="N1590" s="284"/>
      <c r="O1590" s="284"/>
      <c r="P1590" s="284"/>
      <c r="Q1590" s="284"/>
      <c r="R1590" s="284"/>
      <c r="S1590" s="284"/>
      <c r="T1590" s="284"/>
      <c r="U1590" s="284"/>
      <c r="V1590" s="284"/>
      <c r="W1590" s="284"/>
    </row>
    <row r="1591" spans="2:23" x14ac:dyDescent="0.25">
      <c r="B1591" s="286">
        <v>11</v>
      </c>
      <c r="C1591" s="286">
        <v>25</v>
      </c>
      <c r="D1591" s="286"/>
      <c r="E1591" s="286"/>
      <c r="F1591" s="286">
        <v>0</v>
      </c>
      <c r="G1591" s="284">
        <v>2</v>
      </c>
      <c r="H1591" s="286"/>
      <c r="I1591" s="284"/>
      <c r="J1591" s="284"/>
      <c r="K1591" s="284"/>
      <c r="L1591" s="284"/>
      <c r="M1591" s="284"/>
      <c r="N1591" s="284"/>
      <c r="O1591" s="284"/>
      <c r="P1591" s="284"/>
      <c r="Q1591" s="284"/>
      <c r="R1591" s="284"/>
      <c r="S1591" s="284"/>
      <c r="T1591" s="284"/>
      <c r="U1591" s="284"/>
      <c r="V1591" s="284"/>
      <c r="W1591" s="284"/>
    </row>
    <row r="1592" spans="2:23" x14ac:dyDescent="0.25">
      <c r="B1592" s="286">
        <v>26</v>
      </c>
      <c r="C1592" s="286">
        <v>55</v>
      </c>
      <c r="D1592" s="286">
        <v>29</v>
      </c>
      <c r="E1592" s="286">
        <v>55</v>
      </c>
      <c r="F1592" s="286">
        <f t="shared" ref="F1592:F1596" si="167">E1592-D1592+1</f>
        <v>27</v>
      </c>
      <c r="G1592" s="284">
        <v>2.5</v>
      </c>
      <c r="H1592" s="286"/>
      <c r="I1592" s="284"/>
      <c r="J1592" s="284"/>
      <c r="K1592" s="284"/>
      <c r="L1592" s="284"/>
      <c r="M1592" s="284"/>
      <c r="N1592" s="284"/>
      <c r="O1592" s="284"/>
      <c r="P1592" s="284"/>
      <c r="Q1592" s="284"/>
      <c r="R1592" s="284"/>
      <c r="S1592" s="284"/>
      <c r="T1592" s="284"/>
      <c r="U1592" s="284"/>
      <c r="V1592" s="284"/>
      <c r="W1592" s="284"/>
    </row>
    <row r="1593" spans="2:23" x14ac:dyDescent="0.25">
      <c r="B1593" s="286">
        <v>56</v>
      </c>
      <c r="C1593" s="286">
        <v>85</v>
      </c>
      <c r="D1593" s="286">
        <v>56</v>
      </c>
      <c r="E1593" s="286">
        <v>85</v>
      </c>
      <c r="F1593" s="286">
        <f t="shared" si="167"/>
        <v>30</v>
      </c>
      <c r="G1593" s="284">
        <v>3</v>
      </c>
      <c r="H1593" s="286"/>
      <c r="I1593" s="284"/>
      <c r="J1593" s="284"/>
      <c r="K1593" s="284"/>
      <c r="L1593" s="284"/>
      <c r="M1593" s="284"/>
      <c r="N1593" s="284"/>
      <c r="O1593" s="284"/>
      <c r="P1593" s="284"/>
      <c r="Q1593" s="284"/>
      <c r="R1593" s="284"/>
      <c r="S1593" s="284"/>
      <c r="T1593" s="284"/>
      <c r="U1593" s="284"/>
      <c r="V1593" s="284"/>
      <c r="W1593" s="284"/>
    </row>
    <row r="1594" spans="2:23" x14ac:dyDescent="0.25">
      <c r="B1594" s="286">
        <v>86</v>
      </c>
      <c r="C1594" s="286">
        <v>100</v>
      </c>
      <c r="D1594" s="286">
        <v>86</v>
      </c>
      <c r="E1594" s="286">
        <v>100</v>
      </c>
      <c r="F1594" s="286">
        <f t="shared" si="167"/>
        <v>15</v>
      </c>
      <c r="G1594" s="284">
        <v>3</v>
      </c>
      <c r="H1594" s="286"/>
      <c r="I1594" s="284"/>
      <c r="J1594" s="284"/>
      <c r="K1594" s="284"/>
      <c r="L1594" s="284"/>
      <c r="M1594" s="284"/>
      <c r="N1594" s="284"/>
      <c r="O1594" s="284"/>
      <c r="P1594" s="284"/>
      <c r="Q1594" s="284"/>
      <c r="R1594" s="284"/>
      <c r="S1594" s="284"/>
      <c r="T1594" s="284"/>
      <c r="U1594" s="284"/>
      <c r="V1594" s="284"/>
      <c r="W1594" s="284"/>
    </row>
    <row r="1595" spans="2:23" x14ac:dyDescent="0.25">
      <c r="B1595" s="286">
        <v>101</v>
      </c>
      <c r="C1595" s="286">
        <v>110</v>
      </c>
      <c r="D1595" s="286">
        <v>101</v>
      </c>
      <c r="E1595" s="286">
        <v>110</v>
      </c>
      <c r="F1595" s="286">
        <f t="shared" si="167"/>
        <v>10</v>
      </c>
      <c r="G1595" s="284">
        <v>3</v>
      </c>
      <c r="H1595" s="286"/>
      <c r="I1595" s="284"/>
      <c r="J1595" s="284"/>
      <c r="K1595" s="284"/>
      <c r="L1595" s="284"/>
      <c r="M1595" s="284"/>
      <c r="N1595" s="284"/>
      <c r="O1595" s="284"/>
      <c r="P1595" s="284"/>
      <c r="Q1595" s="284"/>
      <c r="R1595" s="284"/>
      <c r="S1595" s="284"/>
      <c r="T1595" s="284"/>
      <c r="U1595" s="284"/>
      <c r="V1595" s="284"/>
      <c r="W1595" s="284"/>
    </row>
    <row r="1596" spans="2:23" x14ac:dyDescent="0.25">
      <c r="B1596" s="286">
        <v>111</v>
      </c>
      <c r="C1596" s="286">
        <v>120</v>
      </c>
      <c r="D1596" s="286">
        <v>111</v>
      </c>
      <c r="E1596" s="286">
        <v>129</v>
      </c>
      <c r="F1596" s="286">
        <f t="shared" si="167"/>
        <v>19</v>
      </c>
      <c r="G1596" s="284">
        <v>3</v>
      </c>
      <c r="H1596" s="286"/>
      <c r="I1596" s="284"/>
      <c r="J1596" s="284"/>
      <c r="K1596" s="284"/>
      <c r="L1596" s="284"/>
      <c r="M1596" s="284"/>
      <c r="N1596" s="284"/>
      <c r="O1596" s="284"/>
      <c r="P1596" s="284"/>
      <c r="Q1596" s="284"/>
      <c r="R1596" s="284"/>
      <c r="S1596" s="284"/>
      <c r="T1596" s="284"/>
      <c r="U1596" s="284"/>
      <c r="V1596" s="284"/>
      <c r="W1596" s="284"/>
    </row>
    <row r="1597" spans="2:23" x14ac:dyDescent="0.25">
      <c r="B1597" s="284"/>
      <c r="C1597" s="284"/>
      <c r="D1597" s="284"/>
      <c r="E1597" s="284"/>
      <c r="F1597" s="284"/>
      <c r="G1597" s="284"/>
      <c r="H1597" s="284"/>
      <c r="I1597" s="284"/>
      <c r="J1597" s="284"/>
      <c r="K1597" s="284"/>
      <c r="L1597" s="284"/>
      <c r="M1597" s="284"/>
      <c r="N1597" s="284"/>
      <c r="O1597" s="284"/>
      <c r="P1597" s="284"/>
      <c r="Q1597" s="284"/>
      <c r="R1597" s="284"/>
      <c r="S1597" s="284"/>
      <c r="T1597" s="284"/>
      <c r="U1597" s="284"/>
      <c r="V1597" s="284"/>
      <c r="W1597" s="284"/>
    </row>
    <row r="1598" spans="2:23" x14ac:dyDescent="0.25">
      <c r="B1598" s="386" t="s">
        <v>346</v>
      </c>
      <c r="C1598" s="386"/>
      <c r="D1598" s="386"/>
      <c r="E1598" s="386"/>
      <c r="F1598" s="386"/>
      <c r="G1598" s="286"/>
      <c r="H1598" s="286"/>
      <c r="I1598" s="284"/>
      <c r="J1598" s="284"/>
      <c r="K1598" s="284"/>
      <c r="L1598" s="284"/>
      <c r="M1598" s="284"/>
      <c r="N1598" s="284"/>
      <c r="O1598" s="284"/>
      <c r="P1598" s="284"/>
      <c r="Q1598" s="284"/>
      <c r="R1598" s="284"/>
      <c r="S1598" s="284"/>
      <c r="T1598" s="284"/>
      <c r="U1598" s="284"/>
      <c r="V1598" s="284"/>
      <c r="W1598" s="284"/>
    </row>
    <row r="1599" spans="2:23" x14ac:dyDescent="0.25">
      <c r="B1599" s="386" t="s">
        <v>254</v>
      </c>
      <c r="C1599" s="386"/>
      <c r="D1599" s="386" t="s">
        <v>254</v>
      </c>
      <c r="E1599" s="386"/>
      <c r="F1599" s="192" t="s">
        <v>313</v>
      </c>
      <c r="G1599" s="286" t="s">
        <v>314</v>
      </c>
      <c r="H1599" s="286" t="s">
        <v>316</v>
      </c>
      <c r="I1599" s="284"/>
      <c r="J1599" s="284"/>
      <c r="K1599" s="284"/>
      <c r="L1599" s="284"/>
      <c r="M1599" s="284"/>
      <c r="N1599" s="284"/>
      <c r="O1599" s="284"/>
      <c r="P1599" s="284"/>
      <c r="Q1599" s="284"/>
      <c r="R1599" s="284"/>
      <c r="S1599" s="284"/>
      <c r="T1599" s="284"/>
      <c r="U1599" s="284"/>
      <c r="V1599" s="284"/>
      <c r="W1599" s="284"/>
    </row>
    <row r="1600" spans="2:23" x14ac:dyDescent="0.25">
      <c r="B1600" s="286">
        <v>0</v>
      </c>
      <c r="C1600" s="286">
        <v>10</v>
      </c>
      <c r="D1600" s="286"/>
      <c r="E1600" s="286"/>
      <c r="F1600" s="286">
        <v>0</v>
      </c>
      <c r="G1600" s="284">
        <v>1.5</v>
      </c>
      <c r="H1600" s="286">
        <f>(F1600*G1600+F1601*G1601+F1602*G1602+F1603*G1603+F1604*G1604+F1605*G1605+F1606*G1606)/100</f>
        <v>2.9</v>
      </c>
      <c r="I1600" s="284"/>
      <c r="J1600" s="284"/>
      <c r="K1600" s="284"/>
      <c r="L1600" s="284"/>
      <c r="M1600" s="284"/>
      <c r="N1600" s="284"/>
      <c r="O1600" s="284"/>
      <c r="P1600" s="284"/>
      <c r="Q1600" s="284"/>
      <c r="R1600" s="284"/>
      <c r="S1600" s="284"/>
      <c r="T1600" s="284"/>
      <c r="U1600" s="284"/>
      <c r="V1600" s="284"/>
      <c r="W1600" s="284"/>
    </row>
    <row r="1601" spans="2:23" x14ac:dyDescent="0.25">
      <c r="B1601" s="286">
        <v>11</v>
      </c>
      <c r="C1601" s="286">
        <v>25</v>
      </c>
      <c r="D1601" s="286"/>
      <c r="E1601" s="286"/>
      <c r="F1601" s="286">
        <v>0</v>
      </c>
      <c r="G1601" s="284">
        <v>2</v>
      </c>
      <c r="H1601" s="286"/>
      <c r="I1601" s="284"/>
      <c r="J1601" s="284"/>
      <c r="K1601" s="284"/>
      <c r="L1601" s="284"/>
      <c r="M1601" s="284"/>
      <c r="N1601" s="284"/>
      <c r="O1601" s="284"/>
      <c r="P1601" s="284"/>
      <c r="Q1601" s="284"/>
      <c r="R1601" s="284"/>
      <c r="S1601" s="284"/>
      <c r="T1601" s="284"/>
      <c r="U1601" s="284"/>
      <c r="V1601" s="284"/>
      <c r="W1601" s="284"/>
    </row>
    <row r="1602" spans="2:23" x14ac:dyDescent="0.25">
      <c r="B1602" s="286">
        <v>26</v>
      </c>
      <c r="C1602" s="286">
        <v>55</v>
      </c>
      <c r="D1602" s="286">
        <v>30</v>
      </c>
      <c r="E1602" s="286">
        <v>55</v>
      </c>
      <c r="F1602" s="286">
        <f t="shared" ref="F1602:F1606" si="168">E1602-D1602+1</f>
        <v>26</v>
      </c>
      <c r="G1602" s="284">
        <v>2.5</v>
      </c>
      <c r="H1602" s="286"/>
      <c r="I1602" s="284"/>
      <c r="J1602" s="284"/>
      <c r="K1602" s="284"/>
      <c r="L1602" s="284"/>
      <c r="M1602" s="284"/>
      <c r="N1602" s="284"/>
      <c r="O1602" s="284"/>
      <c r="P1602" s="284"/>
      <c r="Q1602" s="284"/>
      <c r="R1602" s="284"/>
      <c r="S1602" s="284"/>
      <c r="T1602" s="284"/>
      <c r="U1602" s="284"/>
      <c r="V1602" s="284"/>
      <c r="W1602" s="284"/>
    </row>
    <row r="1603" spans="2:23" x14ac:dyDescent="0.25">
      <c r="B1603" s="286">
        <v>56</v>
      </c>
      <c r="C1603" s="286">
        <v>85</v>
      </c>
      <c r="D1603" s="286">
        <v>56</v>
      </c>
      <c r="E1603" s="286">
        <v>85</v>
      </c>
      <c r="F1603" s="286">
        <f t="shared" si="168"/>
        <v>30</v>
      </c>
      <c r="G1603" s="284">
        <v>3</v>
      </c>
      <c r="H1603" s="286"/>
      <c r="I1603" s="284"/>
      <c r="J1603" s="284"/>
      <c r="K1603" s="284"/>
      <c r="L1603" s="284"/>
      <c r="M1603" s="284"/>
      <c r="N1603" s="284"/>
      <c r="O1603" s="284"/>
      <c r="P1603" s="284"/>
      <c r="Q1603" s="284"/>
      <c r="R1603" s="284"/>
      <c r="S1603" s="284"/>
      <c r="T1603" s="284"/>
      <c r="U1603" s="284"/>
      <c r="V1603" s="284"/>
      <c r="W1603" s="284"/>
    </row>
    <row r="1604" spans="2:23" x14ac:dyDescent="0.25">
      <c r="B1604" s="286">
        <v>86</v>
      </c>
      <c r="C1604" s="286">
        <v>100</v>
      </c>
      <c r="D1604" s="286">
        <v>86</v>
      </c>
      <c r="E1604" s="286">
        <v>100</v>
      </c>
      <c r="F1604" s="286">
        <f t="shared" si="168"/>
        <v>15</v>
      </c>
      <c r="G1604" s="284">
        <v>3</v>
      </c>
      <c r="H1604" s="286"/>
      <c r="I1604" s="284"/>
      <c r="J1604" s="284"/>
      <c r="K1604" s="284"/>
      <c r="L1604" s="284"/>
      <c r="M1604" s="284"/>
      <c r="N1604" s="284"/>
      <c r="O1604" s="284"/>
      <c r="P1604" s="284"/>
      <c r="Q1604" s="284"/>
      <c r="R1604" s="284"/>
      <c r="S1604" s="284"/>
      <c r="T1604" s="284"/>
      <c r="U1604" s="284"/>
      <c r="V1604" s="284"/>
      <c r="W1604" s="284"/>
    </row>
    <row r="1605" spans="2:23" x14ac:dyDescent="0.25">
      <c r="B1605" s="286">
        <v>101</v>
      </c>
      <c r="C1605" s="286">
        <v>110</v>
      </c>
      <c r="D1605" s="286">
        <v>101</v>
      </c>
      <c r="E1605" s="286">
        <v>110</v>
      </c>
      <c r="F1605" s="286">
        <f t="shared" si="168"/>
        <v>10</v>
      </c>
      <c r="G1605" s="284">
        <v>3</v>
      </c>
      <c r="H1605" s="286"/>
      <c r="I1605" s="284"/>
      <c r="J1605" s="284"/>
      <c r="K1605" s="284"/>
      <c r="L1605" s="284"/>
      <c r="M1605" s="284"/>
      <c r="N1605" s="284"/>
      <c r="O1605" s="284"/>
      <c r="P1605" s="284"/>
      <c r="Q1605" s="284"/>
      <c r="R1605" s="284"/>
      <c r="S1605" s="284"/>
      <c r="T1605" s="284"/>
      <c r="U1605" s="284"/>
      <c r="V1605" s="284"/>
      <c r="W1605" s="284"/>
    </row>
    <row r="1606" spans="2:23" x14ac:dyDescent="0.25">
      <c r="B1606" s="286">
        <v>111</v>
      </c>
      <c r="C1606" s="286">
        <v>120</v>
      </c>
      <c r="D1606" s="286">
        <v>111</v>
      </c>
      <c r="E1606" s="286">
        <v>130</v>
      </c>
      <c r="F1606" s="286">
        <f t="shared" si="168"/>
        <v>20</v>
      </c>
      <c r="G1606" s="284">
        <v>3</v>
      </c>
      <c r="H1606" s="286"/>
      <c r="I1606" s="284"/>
      <c r="J1606" s="284"/>
      <c r="K1606" s="284"/>
      <c r="L1606" s="284"/>
      <c r="M1606" s="284"/>
      <c r="N1606" s="284"/>
      <c r="O1606" s="284"/>
      <c r="P1606" s="284"/>
      <c r="Q1606" s="284"/>
      <c r="R1606" s="284"/>
      <c r="S1606" s="284"/>
      <c r="T1606" s="284"/>
      <c r="U1606" s="284"/>
      <c r="V1606" s="284"/>
      <c r="W1606" s="284"/>
    </row>
    <row r="1607" spans="2:23" x14ac:dyDescent="0.25">
      <c r="B1607" s="284"/>
      <c r="C1607" s="284"/>
      <c r="D1607" s="284"/>
      <c r="E1607" s="284"/>
      <c r="F1607" s="284"/>
      <c r="G1607" s="284"/>
      <c r="H1607" s="284"/>
      <c r="I1607" s="284"/>
      <c r="J1607" s="284"/>
      <c r="K1607" s="284"/>
      <c r="L1607" s="284"/>
      <c r="M1607" s="284"/>
      <c r="N1607" s="284"/>
      <c r="O1607" s="284"/>
      <c r="P1607" s="284"/>
      <c r="Q1607" s="284"/>
      <c r="R1607" s="284"/>
      <c r="S1607" s="284"/>
      <c r="T1607" s="284"/>
      <c r="U1607" s="284"/>
      <c r="V1607" s="284"/>
      <c r="W1607" s="284"/>
    </row>
    <row r="1608" spans="2:23" x14ac:dyDescent="0.25">
      <c r="B1608" s="386" t="s">
        <v>347</v>
      </c>
      <c r="C1608" s="386"/>
      <c r="D1608" s="386"/>
      <c r="E1608" s="386"/>
      <c r="F1608" s="386"/>
      <c r="G1608" s="286"/>
      <c r="H1608" s="286"/>
      <c r="I1608" s="284"/>
      <c r="J1608" s="284"/>
      <c r="K1608" s="284"/>
      <c r="L1608" s="284"/>
      <c r="M1608" s="284"/>
      <c r="N1608" s="284"/>
      <c r="O1608" s="284"/>
      <c r="P1608" s="284"/>
      <c r="Q1608" s="284"/>
      <c r="R1608" s="284"/>
      <c r="S1608" s="284"/>
      <c r="T1608" s="284"/>
      <c r="U1608" s="284"/>
      <c r="V1608" s="284"/>
      <c r="W1608" s="284"/>
    </row>
    <row r="1609" spans="2:23" x14ac:dyDescent="0.25">
      <c r="B1609" s="386" t="s">
        <v>254</v>
      </c>
      <c r="C1609" s="386"/>
      <c r="D1609" s="386" t="s">
        <v>254</v>
      </c>
      <c r="E1609" s="386"/>
      <c r="F1609" s="192" t="s">
        <v>313</v>
      </c>
      <c r="G1609" s="286" t="s">
        <v>314</v>
      </c>
      <c r="H1609" s="286" t="s">
        <v>316</v>
      </c>
      <c r="I1609" s="284"/>
      <c r="J1609" s="284"/>
      <c r="K1609" s="284"/>
      <c r="L1609" s="284"/>
      <c r="M1609" s="284"/>
      <c r="N1609" s="284"/>
      <c r="O1609" s="284"/>
      <c r="P1609" s="284"/>
      <c r="Q1609" s="284"/>
      <c r="R1609" s="284"/>
      <c r="S1609" s="284"/>
      <c r="T1609" s="284"/>
      <c r="U1609" s="284"/>
      <c r="V1609" s="284"/>
      <c r="W1609" s="284"/>
    </row>
    <row r="1610" spans="2:23" x14ac:dyDescent="0.25">
      <c r="B1610" s="286">
        <v>0</v>
      </c>
      <c r="C1610" s="286">
        <v>10</v>
      </c>
      <c r="D1610" s="286"/>
      <c r="E1610" s="286"/>
      <c r="F1610" s="286">
        <v>0</v>
      </c>
      <c r="G1610" s="284">
        <v>1.5</v>
      </c>
      <c r="H1610" s="286">
        <f>(F1610*G1610+F1611*G1611+F1612*G1612+F1613*G1613+F1614*G1614+F1615*G1615+F1616*G1616)/100</f>
        <v>2.9049999999999998</v>
      </c>
      <c r="I1610" s="284"/>
      <c r="J1610" s="284"/>
      <c r="K1610" s="284"/>
      <c r="L1610" s="284"/>
      <c r="M1610" s="284"/>
      <c r="N1610" s="284"/>
      <c r="O1610" s="284"/>
      <c r="P1610" s="284"/>
      <c r="Q1610" s="284"/>
      <c r="R1610" s="284"/>
      <c r="S1610" s="284"/>
      <c r="T1610" s="284"/>
      <c r="U1610" s="284"/>
      <c r="V1610" s="284"/>
      <c r="W1610" s="284"/>
    </row>
    <row r="1611" spans="2:23" x14ac:dyDescent="0.25">
      <c r="B1611" s="286">
        <v>11</v>
      </c>
      <c r="C1611" s="286">
        <v>25</v>
      </c>
      <c r="D1611" s="286"/>
      <c r="E1611" s="286"/>
      <c r="F1611" s="286">
        <v>0</v>
      </c>
      <c r="G1611" s="284">
        <v>2</v>
      </c>
      <c r="H1611" s="286"/>
      <c r="I1611" s="284"/>
      <c r="J1611" s="284"/>
      <c r="K1611" s="284"/>
      <c r="L1611" s="284"/>
      <c r="M1611" s="284"/>
      <c r="N1611" s="284"/>
      <c r="O1611" s="284"/>
      <c r="P1611" s="284"/>
      <c r="Q1611" s="284"/>
      <c r="R1611" s="284"/>
      <c r="S1611" s="284"/>
      <c r="T1611" s="284"/>
      <c r="U1611" s="284"/>
      <c r="V1611" s="284"/>
      <c r="W1611" s="284"/>
    </row>
    <row r="1612" spans="2:23" x14ac:dyDescent="0.25">
      <c r="B1612" s="286">
        <v>26</v>
      </c>
      <c r="C1612" s="286">
        <v>55</v>
      </c>
      <c r="D1612" s="286">
        <v>31</v>
      </c>
      <c r="E1612" s="286">
        <v>55</v>
      </c>
      <c r="F1612" s="286">
        <f t="shared" ref="F1612:F1616" si="169">E1612-D1612+1</f>
        <v>25</v>
      </c>
      <c r="G1612" s="284">
        <v>2.5</v>
      </c>
      <c r="H1612" s="286"/>
      <c r="I1612" s="284"/>
      <c r="J1612" s="284"/>
      <c r="K1612" s="284"/>
      <c r="L1612" s="284"/>
      <c r="M1612" s="284"/>
      <c r="N1612" s="284"/>
      <c r="O1612" s="284"/>
      <c r="P1612" s="284"/>
      <c r="Q1612" s="284"/>
      <c r="R1612" s="284"/>
      <c r="S1612" s="284"/>
      <c r="T1612" s="284"/>
      <c r="U1612" s="284"/>
      <c r="V1612" s="284"/>
      <c r="W1612" s="284"/>
    </row>
    <row r="1613" spans="2:23" x14ac:dyDescent="0.25">
      <c r="B1613" s="286">
        <v>56</v>
      </c>
      <c r="C1613" s="286">
        <v>85</v>
      </c>
      <c r="D1613" s="286">
        <v>56</v>
      </c>
      <c r="E1613" s="286">
        <v>85</v>
      </c>
      <c r="F1613" s="286">
        <f t="shared" si="169"/>
        <v>30</v>
      </c>
      <c r="G1613" s="284">
        <v>3</v>
      </c>
      <c r="H1613" s="286"/>
      <c r="I1613" s="284"/>
      <c r="J1613" s="284"/>
      <c r="K1613" s="284"/>
      <c r="L1613" s="284"/>
      <c r="M1613" s="284"/>
      <c r="N1613" s="284"/>
      <c r="O1613" s="284"/>
      <c r="P1613" s="284"/>
      <c r="Q1613" s="284"/>
      <c r="R1613" s="284"/>
      <c r="S1613" s="284"/>
      <c r="T1613" s="284"/>
      <c r="U1613" s="284"/>
      <c r="V1613" s="284"/>
      <c r="W1613" s="284"/>
    </row>
    <row r="1614" spans="2:23" x14ac:dyDescent="0.25">
      <c r="B1614" s="286">
        <v>86</v>
      </c>
      <c r="C1614" s="286">
        <v>100</v>
      </c>
      <c r="D1614" s="286">
        <v>86</v>
      </c>
      <c r="E1614" s="286">
        <v>100</v>
      </c>
      <c r="F1614" s="286">
        <f t="shared" si="169"/>
        <v>15</v>
      </c>
      <c r="G1614" s="284">
        <v>3</v>
      </c>
      <c r="H1614" s="286"/>
      <c r="I1614" s="284"/>
      <c r="J1614" s="284"/>
      <c r="K1614" s="284"/>
      <c r="L1614" s="284"/>
      <c r="M1614" s="284"/>
      <c r="N1614" s="284"/>
      <c r="O1614" s="284"/>
      <c r="P1614" s="284"/>
      <c r="Q1614" s="284"/>
      <c r="R1614" s="284"/>
      <c r="S1614" s="284"/>
      <c r="T1614" s="284"/>
      <c r="U1614" s="284"/>
      <c r="V1614" s="284"/>
      <c r="W1614" s="284"/>
    </row>
    <row r="1615" spans="2:23" x14ac:dyDescent="0.25">
      <c r="B1615" s="286">
        <v>101</v>
      </c>
      <c r="C1615" s="286">
        <v>110</v>
      </c>
      <c r="D1615" s="286">
        <v>101</v>
      </c>
      <c r="E1615" s="286">
        <v>110</v>
      </c>
      <c r="F1615" s="286">
        <f t="shared" si="169"/>
        <v>10</v>
      </c>
      <c r="G1615" s="284">
        <v>3</v>
      </c>
      <c r="H1615" s="286"/>
      <c r="I1615" s="284"/>
      <c r="J1615" s="284"/>
      <c r="K1615" s="284"/>
      <c r="L1615" s="284"/>
      <c r="M1615" s="284"/>
      <c r="N1615" s="284"/>
      <c r="O1615" s="284"/>
      <c r="P1615" s="284"/>
      <c r="Q1615" s="284"/>
      <c r="R1615" s="284"/>
      <c r="S1615" s="284"/>
      <c r="T1615" s="284"/>
      <c r="U1615" s="284"/>
      <c r="V1615" s="284"/>
      <c r="W1615" s="284"/>
    </row>
    <row r="1616" spans="2:23" x14ac:dyDescent="0.25">
      <c r="B1616" s="286">
        <v>111</v>
      </c>
      <c r="C1616" s="286">
        <v>120</v>
      </c>
      <c r="D1616" s="286">
        <v>111</v>
      </c>
      <c r="E1616" s="286">
        <v>131</v>
      </c>
      <c r="F1616" s="286">
        <f t="shared" si="169"/>
        <v>21</v>
      </c>
      <c r="G1616" s="284">
        <v>3</v>
      </c>
      <c r="H1616" s="286"/>
      <c r="I1616" s="284"/>
      <c r="J1616" s="284"/>
      <c r="K1616" s="284"/>
      <c r="L1616" s="284"/>
      <c r="M1616" s="284"/>
      <c r="N1616" s="284"/>
      <c r="O1616" s="284"/>
      <c r="P1616" s="284"/>
      <c r="Q1616" s="284"/>
      <c r="R1616" s="284"/>
      <c r="S1616" s="284"/>
      <c r="T1616" s="284"/>
      <c r="U1616" s="284"/>
      <c r="V1616" s="284"/>
      <c r="W1616" s="284"/>
    </row>
    <row r="1626" spans="2:23" ht="15.75" thickBot="1" x14ac:dyDescent="0.3">
      <c r="B1626" s="284" t="s">
        <v>459</v>
      </c>
      <c r="C1626" s="284"/>
      <c r="D1626" s="284"/>
      <c r="E1626" s="284"/>
      <c r="F1626" s="284"/>
      <c r="G1626" s="284"/>
      <c r="H1626" s="284"/>
      <c r="I1626" s="284"/>
      <c r="J1626" s="284"/>
      <c r="K1626" s="284"/>
      <c r="L1626" s="284"/>
      <c r="M1626" s="284"/>
      <c r="N1626" s="284"/>
      <c r="O1626" s="284"/>
      <c r="P1626" s="284"/>
      <c r="Q1626" s="284"/>
      <c r="R1626" s="284"/>
      <c r="S1626" s="284"/>
      <c r="T1626" s="284"/>
      <c r="U1626" s="284"/>
      <c r="V1626" s="284"/>
      <c r="W1626" s="284"/>
    </row>
    <row r="1627" spans="2:23" ht="15.75" thickBot="1" x14ac:dyDescent="0.3">
      <c r="B1627" s="386" t="s">
        <v>317</v>
      </c>
      <c r="C1627" s="386"/>
      <c r="D1627" s="386"/>
      <c r="E1627" s="386"/>
      <c r="F1627" s="386"/>
      <c r="G1627" s="286"/>
      <c r="H1627" s="286"/>
      <c r="I1627" s="284"/>
      <c r="J1627" s="284"/>
      <c r="K1627" s="389" t="s">
        <v>277</v>
      </c>
      <c r="L1627" s="369"/>
      <c r="M1627" s="369"/>
      <c r="N1627" s="369"/>
      <c r="O1627" s="369"/>
      <c r="P1627" s="369"/>
      <c r="Q1627" s="368"/>
      <c r="R1627" s="388" t="s">
        <v>458</v>
      </c>
      <c r="S1627" s="377"/>
      <c r="T1627" s="377"/>
      <c r="U1627" s="377"/>
      <c r="V1627" s="377"/>
      <c r="W1627" s="284"/>
    </row>
    <row r="1628" spans="2:23" ht="15.75" thickBot="1" x14ac:dyDescent="0.3">
      <c r="B1628" s="386" t="s">
        <v>254</v>
      </c>
      <c r="C1628" s="386"/>
      <c r="D1628" s="386" t="s">
        <v>254</v>
      </c>
      <c r="E1628" s="386"/>
      <c r="F1628" s="192" t="s">
        <v>313</v>
      </c>
      <c r="G1628" s="286" t="s">
        <v>314</v>
      </c>
      <c r="H1628" s="286" t="s">
        <v>316</v>
      </c>
      <c r="I1628" s="284"/>
      <c r="J1628" s="284"/>
      <c r="K1628" s="164"/>
      <c r="L1628" s="171" t="s">
        <v>264</v>
      </c>
      <c r="M1628" s="172" t="s">
        <v>265</v>
      </c>
      <c r="N1628" s="172" t="s">
        <v>266</v>
      </c>
      <c r="O1628" s="172" t="s">
        <v>267</v>
      </c>
      <c r="P1628" s="172" t="s">
        <v>268</v>
      </c>
      <c r="Q1628" s="173" t="s">
        <v>269</v>
      </c>
      <c r="R1628" s="388" t="s">
        <v>254</v>
      </c>
      <c r="S1628" s="385"/>
      <c r="T1628" s="190" t="s">
        <v>313</v>
      </c>
      <c r="U1628" s="284" t="s">
        <v>314</v>
      </c>
      <c r="V1628" s="284" t="s">
        <v>316</v>
      </c>
      <c r="W1628" s="284"/>
    </row>
    <row r="1629" spans="2:23" x14ac:dyDescent="0.25">
      <c r="B1629" s="286">
        <v>0</v>
      </c>
      <c r="C1629" s="286">
        <v>10</v>
      </c>
      <c r="D1629" s="286">
        <v>1</v>
      </c>
      <c r="E1629" s="286">
        <v>10</v>
      </c>
      <c r="F1629" s="286">
        <f>E1629-D1629+1</f>
        <v>10</v>
      </c>
      <c r="G1629" s="284">
        <v>1.5</v>
      </c>
      <c r="H1629" s="286">
        <f>(F1629*G1629+F1630*G1630+F1631*G1631+F1632*G1632+F1633*G1633+F1634*G1634)/100</f>
        <v>2.58</v>
      </c>
      <c r="I1629" s="284"/>
      <c r="J1629" s="284"/>
      <c r="K1629" s="136" t="s">
        <v>270</v>
      </c>
      <c r="L1629" s="161">
        <v>2</v>
      </c>
      <c r="M1629" s="162">
        <v>1.5</v>
      </c>
      <c r="N1629" s="162">
        <v>1</v>
      </c>
      <c r="O1629" s="162">
        <v>2</v>
      </c>
      <c r="P1629" s="162">
        <v>1.5</v>
      </c>
      <c r="Q1629" s="163">
        <v>1.5</v>
      </c>
      <c r="R1629" s="284">
        <v>0</v>
      </c>
      <c r="S1629" s="284">
        <v>10</v>
      </c>
      <c r="T1629" s="284">
        <f>S1629-R1629+1</f>
        <v>11</v>
      </c>
      <c r="U1629" s="284">
        <v>1</v>
      </c>
      <c r="V1629" s="284">
        <f>(U1629*T1629+U1630*T1630+U1631*T1631+U1632*T1632+U1633*T1633)/100</f>
        <v>2.5099999999999998</v>
      </c>
      <c r="W1629" s="284"/>
    </row>
    <row r="1630" spans="2:23" x14ac:dyDescent="0.25">
      <c r="B1630" s="286">
        <v>11</v>
      </c>
      <c r="C1630" s="286">
        <v>25</v>
      </c>
      <c r="D1630" s="286">
        <v>11</v>
      </c>
      <c r="E1630" s="286">
        <v>25</v>
      </c>
      <c r="F1630" s="286">
        <f t="shared" ref="F1630:F1634" si="170">E1630-D1630+1</f>
        <v>15</v>
      </c>
      <c r="G1630" s="284">
        <v>2</v>
      </c>
      <c r="H1630" s="286"/>
      <c r="I1630" s="284"/>
      <c r="J1630" s="284"/>
      <c r="K1630" s="157" t="s">
        <v>271</v>
      </c>
      <c r="L1630" s="158">
        <v>2.5</v>
      </c>
      <c r="M1630" s="159">
        <v>2</v>
      </c>
      <c r="N1630" s="159">
        <v>1.5</v>
      </c>
      <c r="O1630" s="159">
        <v>2.5</v>
      </c>
      <c r="P1630" s="159">
        <v>2</v>
      </c>
      <c r="Q1630" s="160">
        <v>2</v>
      </c>
      <c r="R1630" s="284">
        <v>11</v>
      </c>
      <c r="S1630" s="284">
        <v>25</v>
      </c>
      <c r="T1630" s="284">
        <f t="shared" ref="T1630:T1633" si="171">S1630-R1630+1</f>
        <v>15</v>
      </c>
      <c r="U1630" s="284">
        <v>2</v>
      </c>
      <c r="V1630" s="284"/>
      <c r="W1630" s="284"/>
    </row>
    <row r="1631" spans="2:23" x14ac:dyDescent="0.25">
      <c r="B1631" s="286">
        <v>26</v>
      </c>
      <c r="C1631" s="286">
        <v>55</v>
      </c>
      <c r="D1631" s="286">
        <v>26</v>
      </c>
      <c r="E1631" s="286">
        <v>55</v>
      </c>
      <c r="F1631" s="286">
        <f t="shared" si="170"/>
        <v>30</v>
      </c>
      <c r="G1631" s="284">
        <v>2.5</v>
      </c>
      <c r="H1631" s="286"/>
      <c r="I1631" s="284"/>
      <c r="J1631" s="284"/>
      <c r="K1631" s="138" t="s">
        <v>272</v>
      </c>
      <c r="L1631" s="150">
        <v>3</v>
      </c>
      <c r="M1631" s="151">
        <v>2.5</v>
      </c>
      <c r="N1631" s="151">
        <v>1.5</v>
      </c>
      <c r="O1631" s="151">
        <v>3</v>
      </c>
      <c r="P1631" s="151">
        <v>2.5</v>
      </c>
      <c r="Q1631" s="152">
        <v>2.5</v>
      </c>
      <c r="R1631" s="284">
        <v>26</v>
      </c>
      <c r="S1631" s="284">
        <v>55</v>
      </c>
      <c r="T1631" s="284">
        <f t="shared" si="171"/>
        <v>30</v>
      </c>
      <c r="U1631" s="284">
        <v>2.5</v>
      </c>
      <c r="V1631" s="284"/>
      <c r="W1631" s="284"/>
    </row>
    <row r="1632" spans="2:23" x14ac:dyDescent="0.25">
      <c r="B1632" s="286">
        <v>56</v>
      </c>
      <c r="C1632" s="286">
        <v>85</v>
      </c>
      <c r="D1632" s="286">
        <v>56</v>
      </c>
      <c r="E1632" s="286">
        <v>85</v>
      </c>
      <c r="F1632" s="286">
        <f t="shared" si="170"/>
        <v>30</v>
      </c>
      <c r="G1632" s="284">
        <v>3</v>
      </c>
      <c r="H1632" s="286"/>
      <c r="I1632" s="284"/>
      <c r="J1632" s="284"/>
      <c r="K1632" s="137" t="s">
        <v>273</v>
      </c>
      <c r="L1632" s="147">
        <v>3</v>
      </c>
      <c r="M1632" s="148">
        <v>3</v>
      </c>
      <c r="N1632" s="148">
        <v>1.5</v>
      </c>
      <c r="O1632" s="148">
        <v>3</v>
      </c>
      <c r="P1632" s="148">
        <v>3</v>
      </c>
      <c r="Q1632" s="149">
        <v>3</v>
      </c>
      <c r="R1632" s="284">
        <v>56</v>
      </c>
      <c r="S1632" s="284">
        <v>85</v>
      </c>
      <c r="T1632" s="284">
        <f t="shared" si="171"/>
        <v>30</v>
      </c>
      <c r="U1632" s="284">
        <v>3</v>
      </c>
      <c r="V1632" s="284"/>
      <c r="W1632" s="284"/>
    </row>
    <row r="1633" spans="2:23" x14ac:dyDescent="0.25">
      <c r="B1633" s="286">
        <v>86</v>
      </c>
      <c r="C1633" s="286">
        <v>100</v>
      </c>
      <c r="D1633" s="286">
        <v>86</v>
      </c>
      <c r="E1633" s="286">
        <v>100</v>
      </c>
      <c r="F1633" s="286">
        <f t="shared" si="170"/>
        <v>15</v>
      </c>
      <c r="G1633" s="284">
        <v>3</v>
      </c>
      <c r="H1633" s="286"/>
      <c r="I1633" s="284"/>
      <c r="J1633" s="284"/>
      <c r="K1633" s="153" t="s">
        <v>274</v>
      </c>
      <c r="L1633" s="154">
        <v>3.5</v>
      </c>
      <c r="M1633" s="155">
        <v>3.5</v>
      </c>
      <c r="N1633" s="155">
        <v>2</v>
      </c>
      <c r="O1633" s="155">
        <v>3.5</v>
      </c>
      <c r="P1633" s="155">
        <v>3</v>
      </c>
      <c r="Q1633" s="156">
        <v>3</v>
      </c>
      <c r="R1633" s="284">
        <v>86</v>
      </c>
      <c r="S1633" s="284">
        <v>100</v>
      </c>
      <c r="T1633" s="284">
        <f t="shared" si="171"/>
        <v>15</v>
      </c>
      <c r="U1633" s="284">
        <v>3</v>
      </c>
      <c r="V1633" s="284"/>
      <c r="W1633" s="284"/>
    </row>
    <row r="1634" spans="2:23" x14ac:dyDescent="0.25">
      <c r="B1634" s="286">
        <v>101</v>
      </c>
      <c r="C1634" s="286">
        <v>110</v>
      </c>
      <c r="D1634" s="286">
        <v>101</v>
      </c>
      <c r="E1634" s="286">
        <v>101</v>
      </c>
      <c r="F1634" s="286">
        <f t="shared" si="170"/>
        <v>1</v>
      </c>
      <c r="G1634" s="284">
        <v>3</v>
      </c>
      <c r="H1634" s="286"/>
      <c r="I1634" s="284"/>
      <c r="J1634" s="284"/>
      <c r="K1634" s="143" t="s">
        <v>275</v>
      </c>
      <c r="L1634" s="144">
        <v>4</v>
      </c>
      <c r="M1634" s="287">
        <v>3.5</v>
      </c>
      <c r="N1634" s="287">
        <v>2</v>
      </c>
      <c r="O1634" s="287">
        <v>3.5</v>
      </c>
      <c r="P1634" s="287">
        <v>3</v>
      </c>
      <c r="Q1634" s="146">
        <v>3</v>
      </c>
      <c r="R1634" s="284">
        <v>101</v>
      </c>
      <c r="S1634" s="284">
        <v>110</v>
      </c>
      <c r="T1634" s="284"/>
      <c r="U1634" s="284">
        <v>3</v>
      </c>
      <c r="V1634" s="284"/>
      <c r="W1634" s="284"/>
    </row>
    <row r="1635" spans="2:23" ht="15.75" thickBot="1" x14ac:dyDescent="0.3">
      <c r="B1635" s="286">
        <v>111</v>
      </c>
      <c r="C1635" s="286">
        <v>120</v>
      </c>
      <c r="D1635" s="286"/>
      <c r="E1635" s="286"/>
      <c r="F1635" s="286"/>
      <c r="G1635" s="284">
        <v>3</v>
      </c>
      <c r="H1635" s="286"/>
      <c r="I1635" s="284"/>
      <c r="J1635" s="284"/>
      <c r="K1635" s="139" t="s">
        <v>276</v>
      </c>
      <c r="L1635" s="140">
        <v>4</v>
      </c>
      <c r="M1635" s="141">
        <v>4</v>
      </c>
      <c r="N1635" s="141">
        <v>2.5</v>
      </c>
      <c r="O1635" s="141">
        <v>3.5</v>
      </c>
      <c r="P1635" s="141">
        <v>3</v>
      </c>
      <c r="Q1635" s="142">
        <v>3</v>
      </c>
      <c r="R1635" s="284">
        <v>111</v>
      </c>
      <c r="S1635" s="284">
        <v>120</v>
      </c>
      <c r="T1635" s="284"/>
      <c r="U1635" s="284">
        <v>3</v>
      </c>
      <c r="V1635" s="284"/>
      <c r="W1635" s="284"/>
    </row>
    <row r="1636" spans="2:23" x14ac:dyDescent="0.25">
      <c r="B1636" s="284"/>
      <c r="C1636" s="284"/>
      <c r="D1636" s="284"/>
      <c r="E1636" s="284"/>
      <c r="F1636" s="284"/>
      <c r="G1636" s="284"/>
      <c r="H1636" s="284"/>
      <c r="I1636" s="284"/>
      <c r="J1636" s="284"/>
      <c r="K1636" s="284"/>
      <c r="L1636" s="284"/>
      <c r="M1636" s="284"/>
      <c r="N1636" s="284"/>
      <c r="O1636" s="284"/>
      <c r="P1636" s="284"/>
      <c r="Q1636" s="284"/>
      <c r="R1636" s="284"/>
      <c r="S1636" s="284"/>
      <c r="T1636" s="284"/>
      <c r="U1636" s="284"/>
      <c r="V1636" s="284"/>
      <c r="W1636" s="284"/>
    </row>
    <row r="1637" spans="2:23" x14ac:dyDescent="0.25">
      <c r="B1637" s="284"/>
      <c r="C1637" s="284"/>
      <c r="D1637" s="284"/>
      <c r="E1637" s="284"/>
      <c r="F1637" s="284"/>
      <c r="G1637" s="284"/>
      <c r="H1637" s="284"/>
      <c r="I1637" s="284"/>
      <c r="J1637" s="284"/>
      <c r="K1637" s="284"/>
      <c r="L1637" s="284"/>
      <c r="M1637" s="284"/>
      <c r="N1637" s="284"/>
      <c r="O1637" s="284"/>
      <c r="P1637" s="284"/>
      <c r="Q1637" s="284"/>
      <c r="R1637" s="284"/>
      <c r="S1637" s="284"/>
      <c r="T1637" s="284"/>
      <c r="U1637" s="284"/>
      <c r="V1637" s="284"/>
      <c r="W1637" s="284"/>
    </row>
    <row r="1638" spans="2:23" x14ac:dyDescent="0.25">
      <c r="B1638" s="386" t="s">
        <v>318</v>
      </c>
      <c r="C1638" s="386"/>
      <c r="D1638" s="386"/>
      <c r="E1638" s="386"/>
      <c r="F1638" s="386"/>
      <c r="G1638" s="286"/>
      <c r="H1638" s="286"/>
      <c r="I1638" s="284"/>
      <c r="J1638" s="284"/>
      <c r="K1638" s="284"/>
      <c r="L1638" s="284"/>
      <c r="M1638" s="284"/>
      <c r="N1638" s="284"/>
      <c r="O1638" s="284"/>
      <c r="P1638" s="284"/>
      <c r="Q1638" s="284"/>
      <c r="R1638" s="284"/>
      <c r="S1638" s="284"/>
      <c r="T1638" s="284"/>
      <c r="U1638" s="284"/>
      <c r="V1638" s="284"/>
      <c r="W1638" s="284"/>
    </row>
    <row r="1639" spans="2:23" x14ac:dyDescent="0.25">
      <c r="B1639" s="386" t="s">
        <v>254</v>
      </c>
      <c r="C1639" s="386"/>
      <c r="D1639" s="386" t="s">
        <v>254</v>
      </c>
      <c r="E1639" s="386"/>
      <c r="F1639" s="192" t="s">
        <v>313</v>
      </c>
      <c r="G1639" s="286" t="s">
        <v>314</v>
      </c>
      <c r="H1639" s="286" t="s">
        <v>316</v>
      </c>
      <c r="I1639" s="284"/>
      <c r="J1639" s="284"/>
      <c r="K1639" s="284"/>
      <c r="L1639" s="284"/>
      <c r="M1639" s="284"/>
      <c r="N1639" s="284"/>
      <c r="O1639" s="284"/>
      <c r="P1639" s="284"/>
      <c r="Q1639" s="284"/>
      <c r="R1639" s="284"/>
      <c r="S1639" s="284"/>
      <c r="T1639" s="284"/>
      <c r="U1639" s="284"/>
      <c r="V1639" s="284"/>
      <c r="W1639" s="284"/>
    </row>
    <row r="1640" spans="2:23" x14ac:dyDescent="0.25">
      <c r="B1640" s="286">
        <v>0</v>
      </c>
      <c r="C1640" s="286">
        <v>10</v>
      </c>
      <c r="D1640" s="286">
        <v>2</v>
      </c>
      <c r="E1640" s="286">
        <v>10</v>
      </c>
      <c r="F1640" s="286">
        <f>E1640-D1640+1</f>
        <v>9</v>
      </c>
      <c r="G1640" s="284">
        <v>1.5</v>
      </c>
      <c r="H1640" s="286">
        <f>(F1640*G1640+F1641*G1641+F1642*G1642+F1643*G1643+F1644*G1644+F1645*G1645)/100</f>
        <v>2.5950000000000002</v>
      </c>
      <c r="I1640" s="284"/>
      <c r="J1640" s="284"/>
      <c r="K1640" s="284"/>
      <c r="L1640" s="284"/>
      <c r="M1640" s="284"/>
      <c r="N1640" s="284"/>
      <c r="O1640" s="284"/>
      <c r="P1640" s="284"/>
      <c r="Q1640" s="284"/>
      <c r="R1640" s="284"/>
      <c r="S1640" s="284"/>
      <c r="T1640" s="284"/>
      <c r="U1640" s="284"/>
      <c r="V1640" s="284"/>
      <c r="W1640" s="284"/>
    </row>
    <row r="1641" spans="2:23" x14ac:dyDescent="0.25">
      <c r="B1641" s="286">
        <v>11</v>
      </c>
      <c r="C1641" s="286">
        <v>25</v>
      </c>
      <c r="D1641" s="286">
        <v>11</v>
      </c>
      <c r="E1641" s="286">
        <v>25</v>
      </c>
      <c r="F1641" s="286">
        <f t="shared" ref="F1641:F1645" si="172">E1641-D1641+1</f>
        <v>15</v>
      </c>
      <c r="G1641" s="284">
        <v>2</v>
      </c>
      <c r="H1641" s="286"/>
      <c r="I1641" s="284"/>
      <c r="J1641" s="284"/>
      <c r="K1641" s="284"/>
      <c r="L1641" s="284"/>
      <c r="M1641" s="284"/>
      <c r="N1641" s="284"/>
      <c r="O1641" s="284"/>
      <c r="P1641" s="284"/>
      <c r="Q1641" s="284"/>
      <c r="R1641" s="284"/>
      <c r="S1641" s="284"/>
      <c r="T1641" s="284"/>
      <c r="U1641" s="284"/>
      <c r="V1641" s="284"/>
      <c r="W1641" s="284"/>
    </row>
    <row r="1642" spans="2:23" x14ac:dyDescent="0.25">
      <c r="B1642" s="286">
        <v>26</v>
      </c>
      <c r="C1642" s="286">
        <v>55</v>
      </c>
      <c r="D1642" s="286">
        <v>26</v>
      </c>
      <c r="E1642" s="286">
        <v>55</v>
      </c>
      <c r="F1642" s="286">
        <f t="shared" si="172"/>
        <v>30</v>
      </c>
      <c r="G1642" s="284">
        <v>2.5</v>
      </c>
      <c r="H1642" s="286"/>
      <c r="I1642" s="284"/>
      <c r="J1642" s="284"/>
      <c r="K1642" s="284"/>
      <c r="L1642" s="284"/>
      <c r="M1642" s="284"/>
      <c r="N1642" s="284"/>
      <c r="O1642" s="284"/>
      <c r="P1642" s="284"/>
      <c r="Q1642" s="284"/>
      <c r="R1642" s="284"/>
      <c r="S1642" s="284"/>
      <c r="T1642" s="284"/>
      <c r="U1642" s="284"/>
      <c r="V1642" s="284"/>
      <c r="W1642" s="284"/>
    </row>
    <row r="1643" spans="2:23" x14ac:dyDescent="0.25">
      <c r="B1643" s="286">
        <v>56</v>
      </c>
      <c r="C1643" s="286">
        <v>85</v>
      </c>
      <c r="D1643" s="286">
        <v>56</v>
      </c>
      <c r="E1643" s="286">
        <v>85</v>
      </c>
      <c r="F1643" s="286">
        <f t="shared" si="172"/>
        <v>30</v>
      </c>
      <c r="G1643" s="284">
        <v>3</v>
      </c>
      <c r="H1643" s="286"/>
      <c r="I1643" s="284"/>
      <c r="J1643" s="284"/>
      <c r="K1643" s="284"/>
      <c r="L1643" s="284"/>
      <c r="M1643" s="284"/>
      <c r="N1643" s="284"/>
      <c r="O1643" s="284"/>
      <c r="P1643" s="284"/>
      <c r="Q1643" s="284"/>
      <c r="R1643" s="284"/>
      <c r="S1643" s="284"/>
      <c r="T1643" s="284"/>
      <c r="U1643" s="284"/>
      <c r="V1643" s="284"/>
      <c r="W1643" s="284"/>
    </row>
    <row r="1644" spans="2:23" x14ac:dyDescent="0.25">
      <c r="B1644" s="286">
        <v>86</v>
      </c>
      <c r="C1644" s="286">
        <v>100</v>
      </c>
      <c r="D1644" s="286">
        <v>86</v>
      </c>
      <c r="E1644" s="286">
        <v>100</v>
      </c>
      <c r="F1644" s="286">
        <f t="shared" si="172"/>
        <v>15</v>
      </c>
      <c r="G1644" s="284">
        <v>3</v>
      </c>
      <c r="H1644" s="286"/>
      <c r="I1644" s="284"/>
      <c r="J1644" s="284"/>
      <c r="K1644" s="284"/>
      <c r="L1644" s="284"/>
      <c r="M1644" s="284"/>
      <c r="N1644" s="284"/>
      <c r="O1644" s="284"/>
      <c r="P1644" s="284"/>
      <c r="Q1644" s="284"/>
      <c r="R1644" s="284"/>
      <c r="S1644" s="284"/>
      <c r="T1644" s="284"/>
      <c r="U1644" s="284"/>
      <c r="V1644" s="284"/>
      <c r="W1644" s="284"/>
    </row>
    <row r="1645" spans="2:23" x14ac:dyDescent="0.25">
      <c r="B1645" s="286">
        <v>101</v>
      </c>
      <c r="C1645" s="286">
        <v>110</v>
      </c>
      <c r="D1645" s="286">
        <v>101</v>
      </c>
      <c r="E1645" s="286">
        <v>102</v>
      </c>
      <c r="F1645" s="286">
        <f t="shared" si="172"/>
        <v>2</v>
      </c>
      <c r="G1645" s="284">
        <v>3</v>
      </c>
      <c r="H1645" s="286"/>
      <c r="I1645" s="284"/>
      <c r="J1645" s="284"/>
      <c r="K1645" s="284"/>
      <c r="L1645" s="284"/>
      <c r="M1645" s="284"/>
      <c r="N1645" s="284"/>
      <c r="O1645" s="284"/>
      <c r="P1645" s="284"/>
      <c r="Q1645" s="284"/>
      <c r="R1645" s="284"/>
      <c r="S1645" s="284"/>
      <c r="T1645" s="284"/>
      <c r="U1645" s="284"/>
      <c r="V1645" s="284"/>
      <c r="W1645" s="284"/>
    </row>
    <row r="1646" spans="2:23" x14ac:dyDescent="0.25">
      <c r="B1646" s="286">
        <v>111</v>
      </c>
      <c r="C1646" s="286">
        <v>120</v>
      </c>
      <c r="D1646" s="286"/>
      <c r="E1646" s="286"/>
      <c r="F1646" s="286"/>
      <c r="G1646" s="284">
        <v>3</v>
      </c>
      <c r="H1646" s="286"/>
      <c r="I1646" s="284"/>
      <c r="J1646" s="284"/>
      <c r="K1646" s="284"/>
      <c r="L1646" s="284"/>
      <c r="M1646" s="284"/>
      <c r="N1646" s="284"/>
      <c r="O1646" s="284"/>
      <c r="P1646" s="284"/>
      <c r="Q1646" s="284"/>
      <c r="R1646" s="284"/>
      <c r="S1646" s="284"/>
      <c r="T1646" s="284"/>
      <c r="U1646" s="284"/>
      <c r="V1646" s="284"/>
      <c r="W1646" s="284"/>
    </row>
    <row r="1647" spans="2:23" x14ac:dyDescent="0.25">
      <c r="B1647" s="284"/>
      <c r="C1647" s="284"/>
      <c r="D1647" s="284"/>
      <c r="E1647" s="284"/>
      <c r="F1647" s="284"/>
      <c r="G1647" s="284"/>
      <c r="H1647" s="284"/>
      <c r="I1647" s="284"/>
      <c r="J1647" s="284"/>
      <c r="K1647" s="284"/>
      <c r="L1647" s="284"/>
      <c r="M1647" s="284"/>
      <c r="N1647" s="284"/>
      <c r="O1647" s="284"/>
      <c r="P1647" s="284"/>
      <c r="Q1647" s="284"/>
      <c r="R1647" s="284"/>
      <c r="S1647" s="284"/>
      <c r="T1647" s="284"/>
      <c r="U1647" s="284"/>
      <c r="V1647" s="284"/>
      <c r="W1647" s="284"/>
    </row>
    <row r="1648" spans="2:23" x14ac:dyDescent="0.25">
      <c r="B1648" s="386" t="s">
        <v>320</v>
      </c>
      <c r="C1648" s="386"/>
      <c r="D1648" s="386"/>
      <c r="E1648" s="386"/>
      <c r="F1648" s="386"/>
      <c r="G1648" s="286"/>
      <c r="H1648" s="286"/>
      <c r="I1648" s="284"/>
      <c r="J1648" s="284"/>
      <c r="K1648" s="284"/>
      <c r="L1648" s="284"/>
      <c r="M1648" s="284"/>
      <c r="N1648" s="284"/>
      <c r="O1648" s="284"/>
      <c r="P1648" s="284"/>
      <c r="Q1648" s="284"/>
      <c r="R1648" s="284"/>
      <c r="S1648" s="284"/>
      <c r="T1648" s="284"/>
      <c r="U1648" s="284"/>
      <c r="V1648" s="284"/>
      <c r="W1648" s="284"/>
    </row>
    <row r="1649" spans="2:23" x14ac:dyDescent="0.25">
      <c r="B1649" s="386" t="s">
        <v>254</v>
      </c>
      <c r="C1649" s="386"/>
      <c r="D1649" s="386" t="s">
        <v>254</v>
      </c>
      <c r="E1649" s="386"/>
      <c r="F1649" s="192" t="s">
        <v>313</v>
      </c>
      <c r="G1649" s="286" t="s">
        <v>314</v>
      </c>
      <c r="H1649" s="286" t="s">
        <v>316</v>
      </c>
      <c r="I1649" s="284"/>
      <c r="J1649" s="284"/>
      <c r="K1649" s="284"/>
      <c r="L1649" s="284"/>
      <c r="M1649" s="284"/>
      <c r="N1649" s="284"/>
      <c r="O1649" s="284"/>
      <c r="P1649" s="284"/>
      <c r="Q1649" s="284"/>
      <c r="R1649" s="284"/>
      <c r="S1649" s="284"/>
      <c r="T1649" s="284"/>
      <c r="U1649" s="284"/>
      <c r="V1649" s="284"/>
      <c r="W1649" s="284"/>
    </row>
    <row r="1650" spans="2:23" x14ac:dyDescent="0.25">
      <c r="B1650" s="286">
        <v>0</v>
      </c>
      <c r="C1650" s="286">
        <v>10</v>
      </c>
      <c r="D1650" s="286">
        <v>3</v>
      </c>
      <c r="E1650" s="286">
        <v>10</v>
      </c>
      <c r="F1650" s="286">
        <f>E1650-D1650+1</f>
        <v>8</v>
      </c>
      <c r="G1650" s="284">
        <v>1.5</v>
      </c>
      <c r="H1650" s="286">
        <f>(F1650*G1650+F1651*G1651+F1652*G1652+F1653*G1653+F1654*G1654+F1655*G1655)/100</f>
        <v>2.61</v>
      </c>
      <c r="I1650" s="284"/>
      <c r="J1650" s="284"/>
      <c r="K1650" s="284"/>
      <c r="L1650" s="284"/>
      <c r="M1650" s="284"/>
      <c r="N1650" s="284"/>
      <c r="O1650" s="284"/>
      <c r="P1650" s="284"/>
      <c r="Q1650" s="284"/>
      <c r="R1650" s="284"/>
      <c r="S1650" s="284"/>
      <c r="T1650" s="284"/>
      <c r="U1650" s="284"/>
      <c r="V1650" s="284"/>
      <c r="W1650" s="284"/>
    </row>
    <row r="1651" spans="2:23" x14ac:dyDescent="0.25">
      <c r="B1651" s="286">
        <v>11</v>
      </c>
      <c r="C1651" s="286">
        <v>25</v>
      </c>
      <c r="D1651" s="286">
        <v>11</v>
      </c>
      <c r="E1651" s="286">
        <v>25</v>
      </c>
      <c r="F1651" s="286">
        <f t="shared" ref="F1651:F1655" si="173">E1651-D1651+1</f>
        <v>15</v>
      </c>
      <c r="G1651" s="284">
        <v>2</v>
      </c>
      <c r="H1651" s="286"/>
      <c r="I1651" s="284"/>
      <c r="J1651" s="284"/>
      <c r="K1651" s="284"/>
      <c r="L1651" s="284"/>
      <c r="M1651" s="284"/>
      <c r="N1651" s="284"/>
      <c r="O1651" s="284"/>
      <c r="P1651" s="284"/>
      <c r="Q1651" s="284"/>
      <c r="R1651" s="284"/>
      <c r="S1651" s="284"/>
      <c r="T1651" s="284"/>
      <c r="U1651" s="284"/>
      <c r="V1651" s="284"/>
      <c r="W1651" s="284"/>
    </row>
    <row r="1652" spans="2:23" x14ac:dyDescent="0.25">
      <c r="B1652" s="286">
        <v>26</v>
      </c>
      <c r="C1652" s="286">
        <v>55</v>
      </c>
      <c r="D1652" s="286">
        <v>26</v>
      </c>
      <c r="E1652" s="286">
        <v>55</v>
      </c>
      <c r="F1652" s="286">
        <f t="shared" si="173"/>
        <v>30</v>
      </c>
      <c r="G1652" s="284">
        <v>2.5</v>
      </c>
      <c r="H1652" s="286"/>
      <c r="I1652" s="284"/>
      <c r="J1652" s="284"/>
      <c r="K1652" s="284"/>
      <c r="L1652" s="284"/>
      <c r="M1652" s="284"/>
      <c r="N1652" s="284"/>
      <c r="O1652" s="284"/>
      <c r="P1652" s="284"/>
      <c r="Q1652" s="284"/>
      <c r="R1652" s="284"/>
      <c r="S1652" s="284"/>
      <c r="T1652" s="284"/>
      <c r="U1652" s="284"/>
      <c r="V1652" s="284"/>
      <c r="W1652" s="284"/>
    </row>
    <row r="1653" spans="2:23" x14ac:dyDescent="0.25">
      <c r="B1653" s="286">
        <v>56</v>
      </c>
      <c r="C1653" s="286">
        <v>85</v>
      </c>
      <c r="D1653" s="286">
        <v>56</v>
      </c>
      <c r="E1653" s="286">
        <v>85</v>
      </c>
      <c r="F1653" s="286">
        <f t="shared" si="173"/>
        <v>30</v>
      </c>
      <c r="G1653" s="284">
        <v>3</v>
      </c>
      <c r="H1653" s="286"/>
      <c r="I1653" s="284"/>
      <c r="J1653" s="284"/>
      <c r="K1653" s="284"/>
      <c r="L1653" s="284"/>
      <c r="M1653" s="284"/>
      <c r="N1653" s="284"/>
      <c r="O1653" s="284"/>
      <c r="P1653" s="284"/>
      <c r="Q1653" s="284"/>
      <c r="R1653" s="284"/>
      <c r="S1653" s="284"/>
      <c r="T1653" s="284"/>
      <c r="U1653" s="284"/>
      <c r="V1653" s="284"/>
      <c r="W1653" s="284"/>
    </row>
    <row r="1654" spans="2:23" x14ac:dyDescent="0.25">
      <c r="B1654" s="286">
        <v>86</v>
      </c>
      <c r="C1654" s="286">
        <v>100</v>
      </c>
      <c r="D1654" s="286">
        <v>86</v>
      </c>
      <c r="E1654" s="286">
        <v>100</v>
      </c>
      <c r="F1654" s="286">
        <f t="shared" si="173"/>
        <v>15</v>
      </c>
      <c r="G1654" s="284">
        <v>3</v>
      </c>
      <c r="H1654" s="286"/>
      <c r="I1654" s="284"/>
      <c r="J1654" s="284"/>
      <c r="K1654" s="284"/>
      <c r="L1654" s="284"/>
      <c r="M1654" s="284"/>
      <c r="N1654" s="284"/>
      <c r="O1654" s="284"/>
      <c r="P1654" s="284"/>
      <c r="Q1654" s="284"/>
      <c r="R1654" s="284"/>
      <c r="S1654" s="284"/>
      <c r="T1654" s="284"/>
      <c r="U1654" s="284"/>
      <c r="V1654" s="284"/>
      <c r="W1654" s="284"/>
    </row>
    <row r="1655" spans="2:23" x14ac:dyDescent="0.25">
      <c r="B1655" s="286">
        <v>101</v>
      </c>
      <c r="C1655" s="286">
        <v>110</v>
      </c>
      <c r="D1655" s="286">
        <v>101</v>
      </c>
      <c r="E1655" s="286">
        <v>103</v>
      </c>
      <c r="F1655" s="286">
        <f t="shared" si="173"/>
        <v>3</v>
      </c>
      <c r="G1655" s="284">
        <v>3</v>
      </c>
      <c r="H1655" s="286"/>
      <c r="I1655" s="284"/>
      <c r="J1655" s="284"/>
      <c r="K1655" s="284"/>
      <c r="L1655" s="284"/>
      <c r="M1655" s="284"/>
      <c r="N1655" s="284"/>
      <c r="O1655" s="284"/>
      <c r="P1655" s="284"/>
      <c r="Q1655" s="284"/>
      <c r="R1655" s="284"/>
      <c r="S1655" s="284"/>
      <c r="T1655" s="284"/>
      <c r="U1655" s="284"/>
      <c r="V1655" s="284"/>
      <c r="W1655" s="284"/>
    </row>
    <row r="1656" spans="2:23" x14ac:dyDescent="0.25">
      <c r="B1656" s="286">
        <v>111</v>
      </c>
      <c r="C1656" s="286">
        <v>120</v>
      </c>
      <c r="D1656" s="286"/>
      <c r="E1656" s="286"/>
      <c r="F1656" s="286"/>
      <c r="G1656" s="284">
        <v>3</v>
      </c>
      <c r="H1656" s="286"/>
      <c r="I1656" s="284"/>
      <c r="J1656" s="284"/>
      <c r="K1656" s="284"/>
      <c r="L1656" s="284"/>
      <c r="M1656" s="284"/>
      <c r="N1656" s="284"/>
      <c r="O1656" s="284"/>
      <c r="P1656" s="284"/>
      <c r="Q1656" s="284"/>
      <c r="R1656" s="284"/>
      <c r="S1656" s="284"/>
      <c r="T1656" s="284"/>
      <c r="U1656" s="284"/>
      <c r="V1656" s="284"/>
      <c r="W1656" s="284"/>
    </row>
    <row r="1657" spans="2:23" x14ac:dyDescent="0.25">
      <c r="B1657" s="284"/>
      <c r="C1657" s="284"/>
      <c r="D1657" s="284"/>
      <c r="E1657" s="284"/>
      <c r="F1657" s="284"/>
      <c r="G1657" s="284"/>
      <c r="H1657" s="284"/>
      <c r="I1657" s="284"/>
      <c r="J1657" s="284"/>
      <c r="K1657" s="284"/>
      <c r="L1657" s="284"/>
      <c r="M1657" s="284"/>
      <c r="N1657" s="284"/>
      <c r="O1657" s="284"/>
      <c r="P1657" s="284"/>
      <c r="Q1657" s="284"/>
      <c r="R1657" s="284"/>
      <c r="S1657" s="284"/>
      <c r="T1657" s="284"/>
      <c r="U1657" s="284"/>
      <c r="V1657" s="284"/>
      <c r="W1657" s="284"/>
    </row>
    <row r="1658" spans="2:23" x14ac:dyDescent="0.25">
      <c r="B1658" s="386" t="s">
        <v>321</v>
      </c>
      <c r="C1658" s="386"/>
      <c r="D1658" s="386"/>
      <c r="E1658" s="386"/>
      <c r="F1658" s="386"/>
      <c r="G1658" s="286"/>
      <c r="H1658" s="286"/>
      <c r="I1658" s="284"/>
      <c r="J1658" s="284"/>
      <c r="K1658" s="284"/>
      <c r="L1658" s="284"/>
      <c r="M1658" s="284"/>
      <c r="N1658" s="284"/>
      <c r="O1658" s="284"/>
      <c r="P1658" s="284"/>
      <c r="Q1658" s="284"/>
      <c r="R1658" s="284"/>
      <c r="S1658" s="284"/>
      <c r="T1658" s="284"/>
      <c r="U1658" s="284"/>
      <c r="V1658" s="284"/>
      <c r="W1658" s="284"/>
    </row>
    <row r="1659" spans="2:23" x14ac:dyDescent="0.25">
      <c r="B1659" s="386" t="s">
        <v>254</v>
      </c>
      <c r="C1659" s="386"/>
      <c r="D1659" s="386" t="s">
        <v>254</v>
      </c>
      <c r="E1659" s="386"/>
      <c r="F1659" s="192" t="s">
        <v>313</v>
      </c>
      <c r="G1659" s="286" t="s">
        <v>314</v>
      </c>
      <c r="H1659" s="286" t="s">
        <v>316</v>
      </c>
      <c r="I1659" s="284"/>
      <c r="J1659" s="284"/>
      <c r="K1659" s="284"/>
      <c r="L1659" s="284"/>
      <c r="M1659" s="284"/>
      <c r="N1659" s="284"/>
      <c r="O1659" s="284"/>
      <c r="P1659" s="284"/>
      <c r="Q1659" s="284"/>
      <c r="R1659" s="284"/>
      <c r="S1659" s="284"/>
      <c r="T1659" s="284"/>
      <c r="U1659" s="284"/>
      <c r="V1659" s="284"/>
      <c r="W1659" s="284"/>
    </row>
    <row r="1660" spans="2:23" x14ac:dyDescent="0.25">
      <c r="B1660" s="286">
        <v>0</v>
      </c>
      <c r="C1660" s="286">
        <v>10</v>
      </c>
      <c r="D1660" s="286">
        <v>4</v>
      </c>
      <c r="E1660" s="286">
        <v>10</v>
      </c>
      <c r="F1660" s="286">
        <f>E1660-D1660+1</f>
        <v>7</v>
      </c>
      <c r="G1660" s="284">
        <v>1.5</v>
      </c>
      <c r="H1660" s="286">
        <f>(F1660*G1660+F1661*G1661+F1662*G1662+F1663*G1663+F1664*G1664+F1665*G1665)/100</f>
        <v>2.625</v>
      </c>
      <c r="I1660" s="284"/>
      <c r="J1660" s="284"/>
      <c r="K1660" s="284"/>
      <c r="L1660" s="284"/>
      <c r="M1660" s="284"/>
      <c r="N1660" s="284"/>
      <c r="O1660" s="284"/>
      <c r="P1660" s="284"/>
      <c r="Q1660" s="284"/>
      <c r="R1660" s="284"/>
      <c r="S1660" s="284"/>
      <c r="T1660" s="284"/>
      <c r="U1660" s="284"/>
      <c r="V1660" s="284"/>
      <c r="W1660" s="284"/>
    </row>
    <row r="1661" spans="2:23" x14ac:dyDescent="0.25">
      <c r="B1661" s="286">
        <v>11</v>
      </c>
      <c r="C1661" s="286">
        <v>25</v>
      </c>
      <c r="D1661" s="286">
        <v>11</v>
      </c>
      <c r="E1661" s="286">
        <v>25</v>
      </c>
      <c r="F1661" s="286">
        <f t="shared" ref="F1661:F1665" si="174">E1661-D1661+1</f>
        <v>15</v>
      </c>
      <c r="G1661" s="284">
        <v>2</v>
      </c>
      <c r="H1661" s="286"/>
      <c r="I1661" s="284"/>
      <c r="J1661" s="284"/>
      <c r="K1661" s="284"/>
      <c r="L1661" s="284"/>
      <c r="M1661" s="284"/>
      <c r="N1661" s="284"/>
      <c r="O1661" s="284"/>
      <c r="P1661" s="284"/>
      <c r="Q1661" s="284"/>
      <c r="R1661" s="284"/>
      <c r="S1661" s="284"/>
      <c r="T1661" s="284"/>
      <c r="U1661" s="284"/>
      <c r="V1661" s="284"/>
      <c r="W1661" s="284"/>
    </row>
    <row r="1662" spans="2:23" x14ac:dyDescent="0.25">
      <c r="B1662" s="286">
        <v>26</v>
      </c>
      <c r="C1662" s="286">
        <v>55</v>
      </c>
      <c r="D1662" s="286">
        <v>26</v>
      </c>
      <c r="E1662" s="286">
        <v>55</v>
      </c>
      <c r="F1662" s="286">
        <f t="shared" si="174"/>
        <v>30</v>
      </c>
      <c r="G1662" s="284">
        <v>2.5</v>
      </c>
      <c r="H1662" s="286"/>
      <c r="I1662" s="284"/>
      <c r="J1662" s="284"/>
      <c r="K1662" s="284"/>
      <c r="L1662" s="284"/>
      <c r="M1662" s="284"/>
      <c r="N1662" s="284"/>
      <c r="O1662" s="284"/>
      <c r="P1662" s="284"/>
      <c r="Q1662" s="284"/>
      <c r="R1662" s="284"/>
      <c r="S1662" s="284"/>
      <c r="T1662" s="284"/>
      <c r="U1662" s="284"/>
      <c r="V1662" s="284"/>
      <c r="W1662" s="284"/>
    </row>
    <row r="1663" spans="2:23" x14ac:dyDescent="0.25">
      <c r="B1663" s="286">
        <v>56</v>
      </c>
      <c r="C1663" s="286">
        <v>85</v>
      </c>
      <c r="D1663" s="286">
        <v>56</v>
      </c>
      <c r="E1663" s="286">
        <v>85</v>
      </c>
      <c r="F1663" s="286">
        <f t="shared" si="174"/>
        <v>30</v>
      </c>
      <c r="G1663" s="284">
        <v>3</v>
      </c>
      <c r="H1663" s="286"/>
      <c r="I1663" s="284"/>
      <c r="J1663" s="284"/>
      <c r="K1663" s="284"/>
      <c r="L1663" s="284"/>
      <c r="M1663" s="284"/>
      <c r="N1663" s="284"/>
      <c r="O1663" s="284"/>
      <c r="P1663" s="284"/>
      <c r="Q1663" s="284"/>
      <c r="R1663" s="284"/>
      <c r="S1663" s="284"/>
      <c r="T1663" s="284"/>
      <c r="U1663" s="284"/>
      <c r="V1663" s="284"/>
      <c r="W1663" s="284"/>
    </row>
    <row r="1664" spans="2:23" x14ac:dyDescent="0.25">
      <c r="B1664" s="286">
        <v>86</v>
      </c>
      <c r="C1664" s="286">
        <v>100</v>
      </c>
      <c r="D1664" s="286">
        <v>86</v>
      </c>
      <c r="E1664" s="286">
        <v>100</v>
      </c>
      <c r="F1664" s="286">
        <f t="shared" si="174"/>
        <v>15</v>
      </c>
      <c r="G1664" s="284">
        <v>3</v>
      </c>
      <c r="H1664" s="286"/>
      <c r="I1664" s="284"/>
      <c r="J1664" s="284"/>
      <c r="K1664" s="284"/>
      <c r="L1664" s="284"/>
      <c r="M1664" s="284"/>
      <c r="N1664" s="284"/>
      <c r="O1664" s="284"/>
      <c r="P1664" s="284"/>
      <c r="Q1664" s="284"/>
      <c r="R1664" s="284"/>
      <c r="S1664" s="284"/>
      <c r="T1664" s="284"/>
      <c r="U1664" s="284"/>
      <c r="V1664" s="284"/>
      <c r="W1664" s="284"/>
    </row>
    <row r="1665" spans="2:23" x14ac:dyDescent="0.25">
      <c r="B1665" s="286">
        <v>101</v>
      </c>
      <c r="C1665" s="286">
        <v>110</v>
      </c>
      <c r="D1665" s="286">
        <v>101</v>
      </c>
      <c r="E1665" s="286">
        <v>104</v>
      </c>
      <c r="F1665" s="286">
        <f t="shared" si="174"/>
        <v>4</v>
      </c>
      <c r="G1665" s="284">
        <v>3</v>
      </c>
      <c r="H1665" s="286"/>
      <c r="I1665" s="284"/>
      <c r="J1665" s="284"/>
      <c r="K1665" s="284"/>
      <c r="L1665" s="284"/>
      <c r="M1665" s="284"/>
      <c r="N1665" s="284"/>
      <c r="O1665" s="284"/>
      <c r="P1665" s="284"/>
      <c r="Q1665" s="284"/>
      <c r="R1665" s="284"/>
      <c r="S1665" s="284"/>
      <c r="T1665" s="284"/>
      <c r="U1665" s="284"/>
      <c r="V1665" s="284"/>
      <c r="W1665" s="284"/>
    </row>
    <row r="1666" spans="2:23" x14ac:dyDescent="0.25">
      <c r="B1666" s="286">
        <v>111</v>
      </c>
      <c r="C1666" s="286">
        <v>120</v>
      </c>
      <c r="D1666" s="286"/>
      <c r="E1666" s="286"/>
      <c r="F1666" s="286"/>
      <c r="G1666" s="284">
        <v>3</v>
      </c>
      <c r="H1666" s="286"/>
      <c r="I1666" s="284"/>
      <c r="J1666" s="284"/>
      <c r="K1666" s="284"/>
      <c r="L1666" s="284"/>
      <c r="M1666" s="284"/>
      <c r="N1666" s="284"/>
      <c r="O1666" s="284"/>
      <c r="P1666" s="284"/>
      <c r="Q1666" s="284"/>
      <c r="R1666" s="284"/>
      <c r="S1666" s="284"/>
      <c r="T1666" s="284"/>
      <c r="U1666" s="284"/>
      <c r="V1666" s="284"/>
      <c r="W1666" s="284"/>
    </row>
    <row r="1667" spans="2:23" x14ac:dyDescent="0.25">
      <c r="B1667" s="284"/>
      <c r="C1667" s="284"/>
      <c r="D1667" s="284"/>
      <c r="E1667" s="284"/>
      <c r="F1667" s="284"/>
      <c r="G1667" s="284"/>
      <c r="H1667" s="284"/>
      <c r="I1667" s="284"/>
      <c r="J1667" s="284"/>
      <c r="K1667" s="284"/>
      <c r="L1667" s="284"/>
      <c r="M1667" s="284"/>
      <c r="N1667" s="284"/>
      <c r="O1667" s="284"/>
      <c r="P1667" s="284"/>
      <c r="Q1667" s="284"/>
      <c r="R1667" s="284"/>
      <c r="S1667" s="284"/>
      <c r="T1667" s="284"/>
      <c r="U1667" s="284"/>
      <c r="V1667" s="284"/>
      <c r="W1667" s="284"/>
    </row>
    <row r="1668" spans="2:23" x14ac:dyDescent="0.25">
      <c r="B1668" s="386" t="s">
        <v>322</v>
      </c>
      <c r="C1668" s="386"/>
      <c r="D1668" s="386"/>
      <c r="E1668" s="386"/>
      <c r="F1668" s="386"/>
      <c r="G1668" s="286"/>
      <c r="H1668" s="286"/>
      <c r="I1668" s="284"/>
      <c r="J1668" s="284"/>
      <c r="K1668" s="284"/>
      <c r="L1668" s="284"/>
      <c r="M1668" s="284"/>
      <c r="N1668" s="284"/>
      <c r="O1668" s="284"/>
      <c r="P1668" s="284"/>
      <c r="Q1668" s="284"/>
      <c r="R1668" s="284"/>
      <c r="S1668" s="284"/>
      <c r="T1668" s="284"/>
      <c r="U1668" s="284"/>
      <c r="V1668" s="284"/>
      <c r="W1668" s="284"/>
    </row>
    <row r="1669" spans="2:23" x14ac:dyDescent="0.25">
      <c r="B1669" s="386" t="s">
        <v>254</v>
      </c>
      <c r="C1669" s="386"/>
      <c r="D1669" s="386" t="s">
        <v>254</v>
      </c>
      <c r="E1669" s="386"/>
      <c r="F1669" s="192" t="s">
        <v>313</v>
      </c>
      <c r="G1669" s="286" t="s">
        <v>314</v>
      </c>
      <c r="H1669" s="286" t="s">
        <v>316</v>
      </c>
      <c r="I1669" s="284"/>
      <c r="J1669" s="284"/>
      <c r="K1669" s="284"/>
      <c r="L1669" s="284"/>
      <c r="M1669" s="284"/>
      <c r="N1669" s="284"/>
      <c r="O1669" s="284"/>
      <c r="P1669" s="284"/>
      <c r="Q1669" s="284"/>
      <c r="R1669" s="284"/>
      <c r="S1669" s="284"/>
      <c r="T1669" s="284"/>
      <c r="U1669" s="284"/>
      <c r="V1669" s="284"/>
      <c r="W1669" s="284"/>
    </row>
    <row r="1670" spans="2:23" x14ac:dyDescent="0.25">
      <c r="B1670" s="286">
        <v>0</v>
      </c>
      <c r="C1670" s="286">
        <v>10</v>
      </c>
      <c r="D1670" s="286">
        <v>5</v>
      </c>
      <c r="E1670" s="286">
        <v>10</v>
      </c>
      <c r="F1670" s="286">
        <f>E1670-D1670+1</f>
        <v>6</v>
      </c>
      <c r="G1670" s="284">
        <v>1.5</v>
      </c>
      <c r="H1670" s="286">
        <f>(F1670*G1670+F1671*G1671+F1672*G1672+F1673*G1673+F1674*G1674+F1675*G1675)/100</f>
        <v>2.64</v>
      </c>
      <c r="I1670" s="284"/>
      <c r="J1670" s="284"/>
      <c r="K1670" s="284"/>
      <c r="L1670" s="284"/>
      <c r="M1670" s="284"/>
      <c r="N1670" s="284"/>
      <c r="O1670" s="284"/>
      <c r="P1670" s="284"/>
      <c r="Q1670" s="284"/>
      <c r="R1670" s="284"/>
      <c r="S1670" s="284"/>
      <c r="T1670" s="284"/>
      <c r="U1670" s="284"/>
      <c r="V1670" s="284"/>
      <c r="W1670" s="284"/>
    </row>
    <row r="1671" spans="2:23" x14ac:dyDescent="0.25">
      <c r="B1671" s="286">
        <v>11</v>
      </c>
      <c r="C1671" s="286">
        <v>25</v>
      </c>
      <c r="D1671" s="286">
        <v>11</v>
      </c>
      <c r="E1671" s="286">
        <v>25</v>
      </c>
      <c r="F1671" s="286">
        <f t="shared" ref="F1671:F1675" si="175">E1671-D1671+1</f>
        <v>15</v>
      </c>
      <c r="G1671" s="284">
        <v>2</v>
      </c>
      <c r="H1671" s="286"/>
      <c r="I1671" s="284"/>
      <c r="J1671" s="284"/>
      <c r="K1671" s="284"/>
      <c r="L1671" s="284"/>
      <c r="M1671" s="284"/>
      <c r="N1671" s="284"/>
      <c r="O1671" s="284"/>
      <c r="P1671" s="284"/>
      <c r="Q1671" s="284"/>
      <c r="R1671" s="284"/>
      <c r="S1671" s="284"/>
      <c r="T1671" s="284"/>
      <c r="U1671" s="284"/>
      <c r="V1671" s="284"/>
      <c r="W1671" s="284"/>
    </row>
    <row r="1672" spans="2:23" x14ac:dyDescent="0.25">
      <c r="B1672" s="286">
        <v>26</v>
      </c>
      <c r="C1672" s="286">
        <v>55</v>
      </c>
      <c r="D1672" s="286">
        <v>26</v>
      </c>
      <c r="E1672" s="286">
        <v>55</v>
      </c>
      <c r="F1672" s="286">
        <f t="shared" si="175"/>
        <v>30</v>
      </c>
      <c r="G1672" s="284">
        <v>2.5</v>
      </c>
      <c r="H1672" s="286"/>
      <c r="I1672" s="284"/>
      <c r="J1672" s="284"/>
      <c r="K1672" s="284"/>
      <c r="L1672" s="284"/>
      <c r="M1672" s="284"/>
      <c r="N1672" s="284"/>
      <c r="O1672" s="284"/>
      <c r="P1672" s="284"/>
      <c r="Q1672" s="284"/>
      <c r="R1672" s="284"/>
      <c r="S1672" s="284"/>
      <c r="T1672" s="284"/>
      <c r="U1672" s="284"/>
      <c r="V1672" s="284"/>
      <c r="W1672" s="284"/>
    </row>
    <row r="1673" spans="2:23" x14ac:dyDescent="0.25">
      <c r="B1673" s="286">
        <v>56</v>
      </c>
      <c r="C1673" s="286">
        <v>85</v>
      </c>
      <c r="D1673" s="286">
        <v>56</v>
      </c>
      <c r="E1673" s="286">
        <v>85</v>
      </c>
      <c r="F1673" s="286">
        <f t="shared" si="175"/>
        <v>30</v>
      </c>
      <c r="G1673" s="284">
        <v>3</v>
      </c>
      <c r="H1673" s="286"/>
      <c r="I1673" s="284"/>
      <c r="J1673" s="284"/>
      <c r="K1673" s="284"/>
      <c r="L1673" s="284"/>
      <c r="M1673" s="284"/>
      <c r="N1673" s="284"/>
      <c r="O1673" s="284"/>
      <c r="P1673" s="284"/>
      <c r="Q1673" s="284"/>
      <c r="R1673" s="284"/>
      <c r="S1673" s="284"/>
      <c r="T1673" s="284"/>
      <c r="U1673" s="284"/>
      <c r="V1673" s="284"/>
      <c r="W1673" s="284"/>
    </row>
    <row r="1674" spans="2:23" x14ac:dyDescent="0.25">
      <c r="B1674" s="286">
        <v>86</v>
      </c>
      <c r="C1674" s="286">
        <v>100</v>
      </c>
      <c r="D1674" s="286">
        <v>86</v>
      </c>
      <c r="E1674" s="286">
        <v>100</v>
      </c>
      <c r="F1674" s="286">
        <f t="shared" si="175"/>
        <v>15</v>
      </c>
      <c r="G1674" s="284">
        <v>3</v>
      </c>
      <c r="H1674" s="286"/>
      <c r="I1674" s="284"/>
      <c r="J1674" s="284"/>
      <c r="K1674" s="284"/>
      <c r="L1674" s="284"/>
      <c r="M1674" s="284"/>
      <c r="N1674" s="284"/>
      <c r="O1674" s="284"/>
      <c r="P1674" s="284"/>
      <c r="Q1674" s="284"/>
      <c r="R1674" s="284"/>
      <c r="S1674" s="284"/>
      <c r="T1674" s="284"/>
      <c r="U1674" s="284"/>
      <c r="V1674" s="284"/>
      <c r="W1674" s="284"/>
    </row>
    <row r="1675" spans="2:23" x14ac:dyDescent="0.25">
      <c r="B1675" s="286">
        <v>101</v>
      </c>
      <c r="C1675" s="286">
        <v>110</v>
      </c>
      <c r="D1675" s="286">
        <v>101</v>
      </c>
      <c r="E1675" s="286">
        <v>105</v>
      </c>
      <c r="F1675" s="286">
        <f t="shared" si="175"/>
        <v>5</v>
      </c>
      <c r="G1675" s="284">
        <v>3</v>
      </c>
      <c r="H1675" s="286"/>
      <c r="I1675" s="284"/>
      <c r="J1675" s="284"/>
      <c r="K1675" s="284"/>
      <c r="L1675" s="284"/>
      <c r="M1675" s="284"/>
      <c r="N1675" s="284"/>
      <c r="O1675" s="284"/>
      <c r="P1675" s="284"/>
      <c r="Q1675" s="284"/>
      <c r="R1675" s="284"/>
      <c r="S1675" s="284"/>
      <c r="T1675" s="284"/>
      <c r="U1675" s="284"/>
      <c r="V1675" s="284"/>
      <c r="W1675" s="284"/>
    </row>
    <row r="1676" spans="2:23" x14ac:dyDescent="0.25">
      <c r="B1676" s="286">
        <v>111</v>
      </c>
      <c r="C1676" s="286">
        <v>120</v>
      </c>
      <c r="D1676" s="286"/>
      <c r="E1676" s="286"/>
      <c r="F1676" s="286"/>
      <c r="G1676" s="284">
        <v>3</v>
      </c>
      <c r="H1676" s="286"/>
      <c r="I1676" s="284"/>
      <c r="J1676" s="284"/>
      <c r="K1676" s="284"/>
      <c r="L1676" s="284"/>
      <c r="M1676" s="284"/>
      <c r="N1676" s="284"/>
      <c r="O1676" s="284"/>
      <c r="P1676" s="284"/>
      <c r="Q1676" s="284"/>
      <c r="R1676" s="284"/>
      <c r="S1676" s="284"/>
      <c r="T1676" s="284"/>
      <c r="U1676" s="284"/>
      <c r="V1676" s="284"/>
      <c r="W1676" s="284"/>
    </row>
    <row r="1677" spans="2:23" x14ac:dyDescent="0.25">
      <c r="B1677" s="284"/>
      <c r="C1677" s="284"/>
      <c r="D1677" s="284"/>
      <c r="E1677" s="284"/>
      <c r="F1677" s="284"/>
      <c r="G1677" s="284"/>
      <c r="H1677" s="284"/>
      <c r="I1677" s="284"/>
      <c r="J1677" s="284"/>
      <c r="K1677" s="284"/>
      <c r="L1677" s="284"/>
      <c r="M1677" s="284"/>
      <c r="N1677" s="284"/>
      <c r="O1677" s="284"/>
      <c r="P1677" s="284"/>
      <c r="Q1677" s="284"/>
      <c r="R1677" s="284"/>
      <c r="S1677" s="284"/>
      <c r="T1677" s="284"/>
      <c r="U1677" s="284"/>
      <c r="V1677" s="284"/>
      <c r="W1677" s="284"/>
    </row>
    <row r="1678" spans="2:23" x14ac:dyDescent="0.25">
      <c r="B1678" s="386" t="s">
        <v>323</v>
      </c>
      <c r="C1678" s="386"/>
      <c r="D1678" s="386"/>
      <c r="E1678" s="386"/>
      <c r="F1678" s="386"/>
      <c r="G1678" s="286"/>
      <c r="H1678" s="286"/>
      <c r="I1678" s="284"/>
      <c r="J1678" s="284"/>
      <c r="K1678" s="284"/>
      <c r="L1678" s="284"/>
      <c r="M1678" s="284"/>
      <c r="N1678" s="284"/>
      <c r="O1678" s="284"/>
      <c r="P1678" s="284"/>
      <c r="Q1678" s="284"/>
      <c r="R1678" s="284"/>
      <c r="S1678" s="284"/>
      <c r="T1678" s="284"/>
      <c r="U1678" s="284"/>
      <c r="V1678" s="284"/>
      <c r="W1678" s="284"/>
    </row>
    <row r="1679" spans="2:23" x14ac:dyDescent="0.25">
      <c r="B1679" s="386" t="s">
        <v>254</v>
      </c>
      <c r="C1679" s="386"/>
      <c r="D1679" s="386" t="s">
        <v>254</v>
      </c>
      <c r="E1679" s="386"/>
      <c r="F1679" s="192" t="s">
        <v>313</v>
      </c>
      <c r="G1679" s="286" t="s">
        <v>314</v>
      </c>
      <c r="H1679" s="286" t="s">
        <v>316</v>
      </c>
      <c r="I1679" s="284"/>
      <c r="J1679" s="284"/>
      <c r="K1679" s="284"/>
      <c r="L1679" s="284"/>
      <c r="M1679" s="284"/>
      <c r="N1679" s="284"/>
      <c r="O1679" s="284"/>
      <c r="P1679" s="284"/>
      <c r="Q1679" s="284"/>
      <c r="R1679" s="284"/>
      <c r="S1679" s="284"/>
      <c r="T1679" s="284"/>
      <c r="U1679" s="284"/>
      <c r="V1679" s="284"/>
      <c r="W1679" s="284"/>
    </row>
    <row r="1680" spans="2:23" x14ac:dyDescent="0.25">
      <c r="B1680" s="286">
        <v>0</v>
      </c>
      <c r="C1680" s="286">
        <v>10</v>
      </c>
      <c r="D1680" s="286">
        <v>6</v>
      </c>
      <c r="E1680" s="286">
        <v>10</v>
      </c>
      <c r="F1680" s="286">
        <f>E1680-D1680+1</f>
        <v>5</v>
      </c>
      <c r="G1680" s="284">
        <v>1.5</v>
      </c>
      <c r="H1680" s="286">
        <f>(F1680*G1680+F1681*G1681+F1682*G1682+F1683*G1683+F1684*G1684+F1685*G1685)/100</f>
        <v>2.6549999999999998</v>
      </c>
      <c r="I1680" s="284"/>
      <c r="J1680" s="284"/>
      <c r="K1680" s="284"/>
      <c r="L1680" s="284"/>
      <c r="M1680" s="284"/>
      <c r="N1680" s="284"/>
      <c r="O1680" s="284"/>
      <c r="P1680" s="284"/>
      <c r="Q1680" s="284"/>
      <c r="R1680" s="284"/>
      <c r="S1680" s="284"/>
      <c r="T1680" s="284"/>
      <c r="U1680" s="284"/>
      <c r="V1680" s="284"/>
      <c r="W1680" s="284"/>
    </row>
    <row r="1681" spans="2:23" x14ac:dyDescent="0.25">
      <c r="B1681" s="286">
        <v>11</v>
      </c>
      <c r="C1681" s="286">
        <v>25</v>
      </c>
      <c r="D1681" s="286">
        <v>11</v>
      </c>
      <c r="E1681" s="286">
        <v>25</v>
      </c>
      <c r="F1681" s="286">
        <f t="shared" ref="F1681:F1685" si="176">E1681-D1681+1</f>
        <v>15</v>
      </c>
      <c r="G1681" s="284">
        <v>2</v>
      </c>
      <c r="H1681" s="286"/>
      <c r="I1681" s="284"/>
      <c r="J1681" s="284"/>
      <c r="K1681" s="284"/>
      <c r="L1681" s="284"/>
      <c r="M1681" s="284"/>
      <c r="N1681" s="284"/>
      <c r="O1681" s="284"/>
      <c r="P1681" s="284"/>
      <c r="Q1681" s="284"/>
      <c r="R1681" s="284"/>
      <c r="S1681" s="284"/>
      <c r="T1681" s="284"/>
      <c r="U1681" s="284"/>
      <c r="V1681" s="284"/>
      <c r="W1681" s="284"/>
    </row>
    <row r="1682" spans="2:23" x14ac:dyDescent="0.25">
      <c r="B1682" s="286">
        <v>26</v>
      </c>
      <c r="C1682" s="286">
        <v>55</v>
      </c>
      <c r="D1682" s="286">
        <v>26</v>
      </c>
      <c r="E1682" s="286">
        <v>55</v>
      </c>
      <c r="F1682" s="286">
        <f t="shared" si="176"/>
        <v>30</v>
      </c>
      <c r="G1682" s="284">
        <v>2.5</v>
      </c>
      <c r="H1682" s="286"/>
      <c r="I1682" s="284"/>
      <c r="J1682" s="284"/>
      <c r="K1682" s="284"/>
      <c r="L1682" s="284"/>
      <c r="M1682" s="284"/>
      <c r="N1682" s="284"/>
      <c r="O1682" s="284"/>
      <c r="P1682" s="284"/>
      <c r="Q1682" s="284"/>
      <c r="R1682" s="284"/>
      <c r="S1682" s="284"/>
      <c r="T1682" s="284"/>
      <c r="U1682" s="284"/>
      <c r="V1682" s="284"/>
      <c r="W1682" s="284"/>
    </row>
    <row r="1683" spans="2:23" x14ac:dyDescent="0.25">
      <c r="B1683" s="286">
        <v>56</v>
      </c>
      <c r="C1683" s="286">
        <v>85</v>
      </c>
      <c r="D1683" s="286">
        <v>56</v>
      </c>
      <c r="E1683" s="286">
        <v>85</v>
      </c>
      <c r="F1683" s="286">
        <f t="shared" si="176"/>
        <v>30</v>
      </c>
      <c r="G1683" s="284">
        <v>3</v>
      </c>
      <c r="H1683" s="286"/>
      <c r="I1683" s="284"/>
      <c r="J1683" s="284"/>
      <c r="K1683" s="284"/>
      <c r="L1683" s="284"/>
      <c r="M1683" s="284"/>
      <c r="N1683" s="284"/>
      <c r="O1683" s="284"/>
      <c r="P1683" s="284"/>
      <c r="Q1683" s="284"/>
      <c r="R1683" s="284"/>
      <c r="S1683" s="284"/>
      <c r="T1683" s="284"/>
      <c r="U1683" s="284"/>
      <c r="V1683" s="284"/>
      <c r="W1683" s="284"/>
    </row>
    <row r="1684" spans="2:23" x14ac:dyDescent="0.25">
      <c r="B1684" s="286">
        <v>86</v>
      </c>
      <c r="C1684" s="286">
        <v>100</v>
      </c>
      <c r="D1684" s="286">
        <v>86</v>
      </c>
      <c r="E1684" s="286">
        <v>100</v>
      </c>
      <c r="F1684" s="286">
        <f t="shared" si="176"/>
        <v>15</v>
      </c>
      <c r="G1684" s="284">
        <v>3</v>
      </c>
      <c r="H1684" s="286"/>
      <c r="I1684" s="284"/>
      <c r="J1684" s="284"/>
      <c r="K1684" s="284"/>
      <c r="L1684" s="284"/>
      <c r="M1684" s="284"/>
      <c r="N1684" s="284"/>
      <c r="O1684" s="284"/>
      <c r="P1684" s="284"/>
      <c r="Q1684" s="284"/>
      <c r="R1684" s="284"/>
      <c r="S1684" s="284"/>
      <c r="T1684" s="284"/>
      <c r="U1684" s="284"/>
      <c r="V1684" s="284"/>
      <c r="W1684" s="284"/>
    </row>
    <row r="1685" spans="2:23" x14ac:dyDescent="0.25">
      <c r="B1685" s="286">
        <v>101</v>
      </c>
      <c r="C1685" s="286">
        <v>110</v>
      </c>
      <c r="D1685" s="286">
        <v>101</v>
      </c>
      <c r="E1685" s="286">
        <v>106</v>
      </c>
      <c r="F1685" s="286">
        <f t="shared" si="176"/>
        <v>6</v>
      </c>
      <c r="G1685" s="284">
        <v>3</v>
      </c>
      <c r="H1685" s="286"/>
      <c r="I1685" s="284"/>
      <c r="J1685" s="284"/>
      <c r="K1685" s="284"/>
      <c r="L1685" s="284"/>
      <c r="M1685" s="284"/>
      <c r="N1685" s="284"/>
      <c r="O1685" s="284"/>
      <c r="P1685" s="284"/>
      <c r="Q1685" s="284"/>
      <c r="R1685" s="284"/>
      <c r="S1685" s="284"/>
      <c r="T1685" s="284"/>
      <c r="U1685" s="284"/>
      <c r="V1685" s="284"/>
      <c r="W1685" s="284"/>
    </row>
    <row r="1686" spans="2:23" x14ac:dyDescent="0.25">
      <c r="B1686" s="286">
        <v>111</v>
      </c>
      <c r="C1686" s="286">
        <v>120</v>
      </c>
      <c r="D1686" s="286"/>
      <c r="E1686" s="286"/>
      <c r="F1686" s="286"/>
      <c r="G1686" s="284">
        <v>3</v>
      </c>
      <c r="H1686" s="286"/>
      <c r="I1686" s="284"/>
      <c r="J1686" s="284"/>
      <c r="K1686" s="284"/>
      <c r="L1686" s="284"/>
      <c r="M1686" s="284"/>
      <c r="N1686" s="284"/>
      <c r="O1686" s="284"/>
      <c r="P1686" s="284"/>
      <c r="Q1686" s="284"/>
      <c r="R1686" s="284"/>
      <c r="S1686" s="284"/>
      <c r="T1686" s="284"/>
      <c r="U1686" s="284"/>
      <c r="V1686" s="284"/>
      <c r="W1686" s="284"/>
    </row>
    <row r="1687" spans="2:23" x14ac:dyDescent="0.25">
      <c r="B1687" s="284"/>
      <c r="C1687" s="284"/>
      <c r="D1687" s="284"/>
      <c r="E1687" s="284"/>
      <c r="F1687" s="284"/>
      <c r="G1687" s="284"/>
      <c r="H1687" s="284"/>
      <c r="I1687" s="284"/>
      <c r="J1687" s="284"/>
      <c r="K1687" s="284"/>
      <c r="L1687" s="284"/>
      <c r="M1687" s="284"/>
      <c r="N1687" s="284"/>
      <c r="O1687" s="284"/>
      <c r="P1687" s="284"/>
      <c r="Q1687" s="284"/>
      <c r="R1687" s="284"/>
      <c r="S1687" s="284"/>
      <c r="T1687" s="284"/>
      <c r="U1687" s="284"/>
      <c r="V1687" s="284"/>
      <c r="W1687" s="284"/>
    </row>
    <row r="1688" spans="2:23" x14ac:dyDescent="0.25">
      <c r="B1688" s="386" t="s">
        <v>324</v>
      </c>
      <c r="C1688" s="386"/>
      <c r="D1688" s="386"/>
      <c r="E1688" s="386"/>
      <c r="F1688" s="386"/>
      <c r="G1688" s="286"/>
      <c r="H1688" s="286"/>
      <c r="I1688" s="284"/>
      <c r="J1688" s="284"/>
      <c r="K1688" s="284"/>
      <c r="L1688" s="284"/>
      <c r="M1688" s="284"/>
      <c r="N1688" s="284"/>
      <c r="O1688" s="284"/>
      <c r="P1688" s="284"/>
      <c r="Q1688" s="284"/>
      <c r="R1688" s="284"/>
      <c r="S1688" s="284"/>
      <c r="T1688" s="284"/>
      <c r="U1688" s="284"/>
      <c r="V1688" s="284"/>
      <c r="W1688" s="284"/>
    </row>
    <row r="1689" spans="2:23" x14ac:dyDescent="0.25">
      <c r="B1689" s="386" t="s">
        <v>254</v>
      </c>
      <c r="C1689" s="386"/>
      <c r="D1689" s="386" t="s">
        <v>254</v>
      </c>
      <c r="E1689" s="386"/>
      <c r="F1689" s="192" t="s">
        <v>313</v>
      </c>
      <c r="G1689" s="286" t="s">
        <v>314</v>
      </c>
      <c r="H1689" s="286" t="s">
        <v>316</v>
      </c>
      <c r="I1689" s="284"/>
      <c r="J1689" s="284"/>
      <c r="K1689" s="284"/>
      <c r="L1689" s="284"/>
      <c r="M1689" s="284"/>
      <c r="N1689" s="284"/>
      <c r="O1689" s="284"/>
      <c r="P1689" s="284"/>
      <c r="Q1689" s="284"/>
      <c r="R1689" s="284"/>
      <c r="S1689" s="284"/>
      <c r="T1689" s="284"/>
      <c r="U1689" s="284"/>
      <c r="V1689" s="284"/>
      <c r="W1689" s="284"/>
    </row>
    <row r="1690" spans="2:23" x14ac:dyDescent="0.25">
      <c r="B1690" s="286">
        <v>0</v>
      </c>
      <c r="C1690" s="286">
        <v>10</v>
      </c>
      <c r="D1690" s="286">
        <v>7</v>
      </c>
      <c r="E1690" s="286">
        <v>10</v>
      </c>
      <c r="F1690" s="286">
        <f>E1690-D1690+1</f>
        <v>4</v>
      </c>
      <c r="G1690" s="284">
        <v>1.5</v>
      </c>
      <c r="H1690" s="286">
        <f>(F1690*G1690+F1691*G1691+F1692*G1692+F1693*G1693+F1694*G1694+F1695*G1695)/100</f>
        <v>2.67</v>
      </c>
      <c r="I1690" s="284"/>
      <c r="J1690" s="284"/>
      <c r="K1690" s="284"/>
      <c r="L1690" s="284"/>
      <c r="M1690" s="284"/>
      <c r="N1690" s="284"/>
      <c r="O1690" s="284"/>
      <c r="P1690" s="284"/>
      <c r="Q1690" s="284"/>
      <c r="R1690" s="284"/>
      <c r="S1690" s="284"/>
      <c r="T1690" s="284"/>
      <c r="U1690" s="284"/>
      <c r="V1690" s="284"/>
      <c r="W1690" s="284"/>
    </row>
    <row r="1691" spans="2:23" x14ac:dyDescent="0.25">
      <c r="B1691" s="286">
        <v>11</v>
      </c>
      <c r="C1691" s="286">
        <v>25</v>
      </c>
      <c r="D1691" s="286">
        <v>11</v>
      </c>
      <c r="E1691" s="286">
        <v>25</v>
      </c>
      <c r="F1691" s="286">
        <f t="shared" ref="F1691:F1695" si="177">E1691-D1691+1</f>
        <v>15</v>
      </c>
      <c r="G1691" s="284">
        <v>2</v>
      </c>
      <c r="H1691" s="286"/>
      <c r="I1691" s="284"/>
      <c r="J1691" s="284"/>
      <c r="K1691" s="284"/>
      <c r="L1691" s="284"/>
      <c r="M1691" s="284"/>
      <c r="N1691" s="284"/>
      <c r="O1691" s="284"/>
      <c r="P1691" s="284"/>
      <c r="Q1691" s="284"/>
      <c r="R1691" s="284"/>
      <c r="S1691" s="284"/>
      <c r="T1691" s="284"/>
      <c r="U1691" s="284"/>
      <c r="V1691" s="284"/>
      <c r="W1691" s="284"/>
    </row>
    <row r="1692" spans="2:23" x14ac:dyDescent="0.25">
      <c r="B1692" s="286">
        <v>26</v>
      </c>
      <c r="C1692" s="286">
        <v>55</v>
      </c>
      <c r="D1692" s="286">
        <v>26</v>
      </c>
      <c r="E1692" s="286">
        <v>55</v>
      </c>
      <c r="F1692" s="286">
        <f t="shared" si="177"/>
        <v>30</v>
      </c>
      <c r="G1692" s="284">
        <v>2.5</v>
      </c>
      <c r="H1692" s="286"/>
      <c r="I1692" s="284"/>
      <c r="J1692" s="284"/>
      <c r="K1692" s="284"/>
      <c r="L1692" s="284"/>
      <c r="M1692" s="284"/>
      <c r="N1692" s="284"/>
      <c r="O1692" s="284"/>
      <c r="P1692" s="284"/>
      <c r="Q1692" s="284"/>
      <c r="R1692" s="284"/>
      <c r="S1692" s="284"/>
      <c r="T1692" s="284"/>
      <c r="U1692" s="284"/>
      <c r="V1692" s="284"/>
      <c r="W1692" s="284"/>
    </row>
    <row r="1693" spans="2:23" x14ac:dyDescent="0.25">
      <c r="B1693" s="286">
        <v>56</v>
      </c>
      <c r="C1693" s="286">
        <v>85</v>
      </c>
      <c r="D1693" s="286">
        <v>56</v>
      </c>
      <c r="E1693" s="286">
        <v>85</v>
      </c>
      <c r="F1693" s="286">
        <f t="shared" si="177"/>
        <v>30</v>
      </c>
      <c r="G1693" s="284">
        <v>3</v>
      </c>
      <c r="H1693" s="286"/>
      <c r="I1693" s="284"/>
      <c r="J1693" s="284"/>
      <c r="K1693" s="284"/>
      <c r="L1693" s="284"/>
      <c r="M1693" s="284"/>
      <c r="N1693" s="284"/>
      <c r="O1693" s="284"/>
      <c r="P1693" s="284"/>
      <c r="Q1693" s="284"/>
      <c r="R1693" s="284"/>
      <c r="S1693" s="284"/>
      <c r="T1693" s="284"/>
      <c r="U1693" s="284"/>
      <c r="V1693" s="284"/>
      <c r="W1693" s="284"/>
    </row>
    <row r="1694" spans="2:23" x14ac:dyDescent="0.25">
      <c r="B1694" s="286">
        <v>86</v>
      </c>
      <c r="C1694" s="286">
        <v>100</v>
      </c>
      <c r="D1694" s="286">
        <v>86</v>
      </c>
      <c r="E1694" s="286">
        <v>100</v>
      </c>
      <c r="F1694" s="286">
        <f t="shared" si="177"/>
        <v>15</v>
      </c>
      <c r="G1694" s="284">
        <v>3</v>
      </c>
      <c r="H1694" s="286"/>
      <c r="I1694" s="284"/>
      <c r="J1694" s="284"/>
      <c r="K1694" s="284"/>
      <c r="L1694" s="284"/>
      <c r="M1694" s="284"/>
      <c r="N1694" s="284"/>
      <c r="O1694" s="284"/>
      <c r="P1694" s="284"/>
      <c r="Q1694" s="284"/>
      <c r="R1694" s="284"/>
      <c r="S1694" s="284"/>
      <c r="T1694" s="284"/>
      <c r="U1694" s="284"/>
      <c r="V1694" s="284"/>
      <c r="W1694" s="284"/>
    </row>
    <row r="1695" spans="2:23" x14ac:dyDescent="0.25">
      <c r="B1695" s="286">
        <v>101</v>
      </c>
      <c r="C1695" s="286">
        <v>110</v>
      </c>
      <c r="D1695" s="286">
        <v>101</v>
      </c>
      <c r="E1695" s="286">
        <v>107</v>
      </c>
      <c r="F1695" s="286">
        <f t="shared" si="177"/>
        <v>7</v>
      </c>
      <c r="G1695" s="284">
        <v>3</v>
      </c>
      <c r="H1695" s="286"/>
      <c r="I1695" s="284"/>
      <c r="J1695" s="284"/>
      <c r="K1695" s="284"/>
      <c r="L1695" s="284"/>
      <c r="M1695" s="284"/>
      <c r="N1695" s="284"/>
      <c r="O1695" s="284"/>
      <c r="P1695" s="284"/>
      <c r="Q1695" s="284"/>
      <c r="R1695" s="284"/>
      <c r="S1695" s="284"/>
      <c r="T1695" s="284"/>
      <c r="U1695" s="284"/>
      <c r="V1695" s="284"/>
      <c r="W1695" s="284"/>
    </row>
    <row r="1696" spans="2:23" x14ac:dyDescent="0.25">
      <c r="B1696" s="286">
        <v>111</v>
      </c>
      <c r="C1696" s="286">
        <v>120</v>
      </c>
      <c r="D1696" s="286"/>
      <c r="E1696" s="286"/>
      <c r="F1696" s="286"/>
      <c r="G1696" s="284">
        <v>3</v>
      </c>
      <c r="H1696" s="286"/>
      <c r="I1696" s="284"/>
      <c r="J1696" s="284"/>
      <c r="K1696" s="284"/>
      <c r="L1696" s="284"/>
      <c r="M1696" s="284"/>
      <c r="N1696" s="284"/>
      <c r="O1696" s="284"/>
      <c r="P1696" s="284"/>
      <c r="Q1696" s="284"/>
      <c r="R1696" s="284"/>
      <c r="S1696" s="284"/>
      <c r="T1696" s="284"/>
      <c r="U1696" s="284"/>
      <c r="V1696" s="284"/>
      <c r="W1696" s="284"/>
    </row>
    <row r="1697" spans="2:23" x14ac:dyDescent="0.25">
      <c r="B1697" s="284"/>
      <c r="C1697" s="284"/>
      <c r="D1697" s="284"/>
      <c r="E1697" s="284"/>
      <c r="F1697" s="284"/>
      <c r="G1697" s="284"/>
      <c r="H1697" s="284"/>
      <c r="I1697" s="284"/>
      <c r="J1697" s="284"/>
      <c r="K1697" s="284"/>
      <c r="L1697" s="284"/>
      <c r="M1697" s="284"/>
      <c r="N1697" s="284"/>
      <c r="O1697" s="284"/>
      <c r="P1697" s="284"/>
      <c r="Q1697" s="284"/>
      <c r="R1697" s="284"/>
      <c r="S1697" s="284"/>
      <c r="T1697" s="284"/>
      <c r="U1697" s="284"/>
      <c r="V1697" s="284"/>
      <c r="W1697" s="284"/>
    </row>
    <row r="1698" spans="2:23" x14ac:dyDescent="0.25">
      <c r="B1698" s="386" t="s">
        <v>325</v>
      </c>
      <c r="C1698" s="386"/>
      <c r="D1698" s="386"/>
      <c r="E1698" s="386"/>
      <c r="F1698" s="386"/>
      <c r="G1698" s="286"/>
      <c r="H1698" s="286"/>
      <c r="I1698" s="284"/>
      <c r="J1698" s="284"/>
      <c r="K1698" s="284"/>
      <c r="L1698" s="284"/>
      <c r="M1698" s="284"/>
      <c r="N1698" s="284"/>
      <c r="O1698" s="284"/>
      <c r="P1698" s="284"/>
      <c r="Q1698" s="284"/>
      <c r="R1698" s="284"/>
      <c r="S1698" s="284"/>
      <c r="T1698" s="284"/>
      <c r="U1698" s="284"/>
      <c r="V1698" s="284"/>
      <c r="W1698" s="284"/>
    </row>
    <row r="1699" spans="2:23" x14ac:dyDescent="0.25">
      <c r="B1699" s="386" t="s">
        <v>254</v>
      </c>
      <c r="C1699" s="386"/>
      <c r="D1699" s="386" t="s">
        <v>254</v>
      </c>
      <c r="E1699" s="386"/>
      <c r="F1699" s="192" t="s">
        <v>313</v>
      </c>
      <c r="G1699" s="286" t="s">
        <v>314</v>
      </c>
      <c r="H1699" s="286" t="s">
        <v>316</v>
      </c>
      <c r="I1699" s="284"/>
      <c r="J1699" s="284"/>
      <c r="K1699" s="284"/>
      <c r="L1699" s="284"/>
      <c r="M1699" s="284"/>
      <c r="N1699" s="284"/>
      <c r="O1699" s="284"/>
      <c r="P1699" s="284"/>
      <c r="Q1699" s="284"/>
      <c r="R1699" s="284"/>
      <c r="S1699" s="284"/>
      <c r="T1699" s="284"/>
      <c r="U1699" s="284"/>
      <c r="V1699" s="284"/>
      <c r="W1699" s="284"/>
    </row>
    <row r="1700" spans="2:23" x14ac:dyDescent="0.25">
      <c r="B1700" s="286">
        <v>0</v>
      </c>
      <c r="C1700" s="286">
        <v>10</v>
      </c>
      <c r="D1700" s="286">
        <v>8</v>
      </c>
      <c r="E1700" s="286">
        <v>10</v>
      </c>
      <c r="F1700" s="286">
        <f>E1700-D1700+1</f>
        <v>3</v>
      </c>
      <c r="G1700" s="284">
        <v>1.5</v>
      </c>
      <c r="H1700" s="286">
        <f>(F1700*G1700+F1701*G1701+F1702*G1702+F1703*G1703+F1704*G1704+F1705*G1705)/100</f>
        <v>2.6850000000000001</v>
      </c>
      <c r="I1700" s="284"/>
      <c r="J1700" s="284"/>
      <c r="K1700" s="284"/>
      <c r="L1700" s="284"/>
      <c r="M1700" s="284"/>
      <c r="N1700" s="284"/>
      <c r="O1700" s="284"/>
      <c r="P1700" s="284"/>
      <c r="Q1700" s="284"/>
      <c r="R1700" s="284"/>
      <c r="S1700" s="284"/>
      <c r="T1700" s="284"/>
      <c r="U1700" s="284"/>
      <c r="V1700" s="284"/>
      <c r="W1700" s="284"/>
    </row>
    <row r="1701" spans="2:23" x14ac:dyDescent="0.25">
      <c r="B1701" s="286">
        <v>11</v>
      </c>
      <c r="C1701" s="286">
        <v>25</v>
      </c>
      <c r="D1701" s="286">
        <v>11</v>
      </c>
      <c r="E1701" s="286">
        <v>25</v>
      </c>
      <c r="F1701" s="286">
        <f t="shared" ref="F1701:F1705" si="178">E1701-D1701+1</f>
        <v>15</v>
      </c>
      <c r="G1701" s="284">
        <v>2</v>
      </c>
      <c r="H1701" s="286"/>
      <c r="I1701" s="284"/>
      <c r="J1701" s="284"/>
      <c r="K1701" s="284"/>
      <c r="L1701" s="284"/>
      <c r="M1701" s="284"/>
      <c r="N1701" s="284"/>
      <c r="O1701" s="284"/>
      <c r="P1701" s="284"/>
      <c r="Q1701" s="284"/>
      <c r="R1701" s="284"/>
      <c r="S1701" s="284"/>
      <c r="T1701" s="284"/>
      <c r="U1701" s="284"/>
      <c r="V1701" s="284"/>
      <c r="W1701" s="284"/>
    </row>
    <row r="1702" spans="2:23" x14ac:dyDescent="0.25">
      <c r="B1702" s="286">
        <v>26</v>
      </c>
      <c r="C1702" s="286">
        <v>55</v>
      </c>
      <c r="D1702" s="286">
        <v>26</v>
      </c>
      <c r="E1702" s="286">
        <v>55</v>
      </c>
      <c r="F1702" s="286">
        <f t="shared" si="178"/>
        <v>30</v>
      </c>
      <c r="G1702" s="284">
        <v>2.5</v>
      </c>
      <c r="H1702" s="286"/>
      <c r="I1702" s="284"/>
      <c r="J1702" s="284"/>
      <c r="K1702" s="284"/>
      <c r="L1702" s="284"/>
      <c r="M1702" s="284"/>
      <c r="N1702" s="284"/>
      <c r="O1702" s="284"/>
      <c r="P1702" s="284"/>
      <c r="Q1702" s="284"/>
      <c r="R1702" s="284"/>
      <c r="S1702" s="284"/>
      <c r="T1702" s="284"/>
      <c r="U1702" s="284"/>
      <c r="V1702" s="284"/>
      <c r="W1702" s="284"/>
    </row>
    <row r="1703" spans="2:23" x14ac:dyDescent="0.25">
      <c r="B1703" s="286">
        <v>56</v>
      </c>
      <c r="C1703" s="286">
        <v>85</v>
      </c>
      <c r="D1703" s="286">
        <v>56</v>
      </c>
      <c r="E1703" s="286">
        <v>85</v>
      </c>
      <c r="F1703" s="286">
        <f t="shared" si="178"/>
        <v>30</v>
      </c>
      <c r="G1703" s="284">
        <v>3</v>
      </c>
      <c r="H1703" s="286"/>
      <c r="I1703" s="284"/>
      <c r="J1703" s="284"/>
      <c r="K1703" s="284"/>
      <c r="L1703" s="284"/>
      <c r="M1703" s="284"/>
      <c r="N1703" s="284"/>
      <c r="O1703" s="284"/>
      <c r="P1703" s="284"/>
      <c r="Q1703" s="284"/>
      <c r="R1703" s="284"/>
      <c r="S1703" s="284"/>
      <c r="T1703" s="284"/>
      <c r="U1703" s="284"/>
      <c r="V1703" s="284"/>
      <c r="W1703" s="284"/>
    </row>
    <row r="1704" spans="2:23" x14ac:dyDescent="0.25">
      <c r="B1704" s="286">
        <v>86</v>
      </c>
      <c r="C1704" s="286">
        <v>100</v>
      </c>
      <c r="D1704" s="286">
        <v>86</v>
      </c>
      <c r="E1704" s="286">
        <v>100</v>
      </c>
      <c r="F1704" s="286">
        <f t="shared" si="178"/>
        <v>15</v>
      </c>
      <c r="G1704" s="284">
        <v>3</v>
      </c>
      <c r="H1704" s="286"/>
      <c r="I1704" s="284"/>
      <c r="J1704" s="284"/>
      <c r="K1704" s="284"/>
      <c r="L1704" s="284"/>
      <c r="M1704" s="284"/>
      <c r="N1704" s="284"/>
      <c r="O1704" s="284"/>
      <c r="P1704" s="284"/>
      <c r="Q1704" s="284"/>
      <c r="R1704" s="284"/>
      <c r="S1704" s="284"/>
      <c r="T1704" s="284"/>
      <c r="U1704" s="284"/>
      <c r="V1704" s="284"/>
      <c r="W1704" s="284"/>
    </row>
    <row r="1705" spans="2:23" x14ac:dyDescent="0.25">
      <c r="B1705" s="286">
        <v>101</v>
      </c>
      <c r="C1705" s="286">
        <v>110</v>
      </c>
      <c r="D1705" s="286">
        <v>101</v>
      </c>
      <c r="E1705" s="286">
        <v>108</v>
      </c>
      <c r="F1705" s="286">
        <f t="shared" si="178"/>
        <v>8</v>
      </c>
      <c r="G1705" s="284">
        <v>3</v>
      </c>
      <c r="H1705" s="286"/>
      <c r="I1705" s="284"/>
      <c r="J1705" s="284"/>
      <c r="K1705" s="284"/>
      <c r="L1705" s="284"/>
      <c r="M1705" s="284"/>
      <c r="N1705" s="284"/>
      <c r="O1705" s="284"/>
      <c r="P1705" s="284"/>
      <c r="Q1705" s="284"/>
      <c r="R1705" s="284"/>
      <c r="S1705" s="284"/>
      <c r="T1705" s="284"/>
      <c r="U1705" s="284"/>
      <c r="V1705" s="284"/>
      <c r="W1705" s="284"/>
    </row>
    <row r="1706" spans="2:23" x14ac:dyDescent="0.25">
      <c r="B1706" s="286">
        <v>111</v>
      </c>
      <c r="C1706" s="286">
        <v>120</v>
      </c>
      <c r="D1706" s="286"/>
      <c r="E1706" s="286"/>
      <c r="F1706" s="286"/>
      <c r="G1706" s="284">
        <v>3</v>
      </c>
      <c r="H1706" s="286"/>
      <c r="I1706" s="284"/>
      <c r="J1706" s="284"/>
      <c r="K1706" s="284"/>
      <c r="L1706" s="284"/>
      <c r="M1706" s="284"/>
      <c r="N1706" s="284"/>
      <c r="O1706" s="284"/>
      <c r="P1706" s="284"/>
      <c r="Q1706" s="284"/>
      <c r="R1706" s="284"/>
      <c r="S1706" s="284"/>
      <c r="T1706" s="284"/>
      <c r="U1706" s="284"/>
      <c r="V1706" s="284"/>
      <c r="W1706" s="284"/>
    </row>
    <row r="1707" spans="2:23" x14ac:dyDescent="0.25">
      <c r="B1707" s="284"/>
      <c r="C1707" s="284"/>
      <c r="D1707" s="284"/>
      <c r="E1707" s="284"/>
      <c r="F1707" s="284"/>
      <c r="G1707" s="284"/>
      <c r="H1707" s="284"/>
      <c r="I1707" s="284"/>
      <c r="J1707" s="284"/>
      <c r="K1707" s="284"/>
      <c r="L1707" s="284"/>
      <c r="M1707" s="284"/>
      <c r="N1707" s="284"/>
      <c r="O1707" s="284"/>
      <c r="P1707" s="284"/>
      <c r="Q1707" s="284"/>
      <c r="R1707" s="284"/>
      <c r="S1707" s="284"/>
      <c r="T1707" s="284"/>
      <c r="U1707" s="284"/>
      <c r="V1707" s="284"/>
      <c r="W1707" s="284"/>
    </row>
    <row r="1708" spans="2:23" x14ac:dyDescent="0.25">
      <c r="B1708" s="386" t="s">
        <v>326</v>
      </c>
      <c r="C1708" s="386"/>
      <c r="D1708" s="386"/>
      <c r="E1708" s="386"/>
      <c r="F1708" s="386"/>
      <c r="G1708" s="286"/>
      <c r="H1708" s="286"/>
      <c r="I1708" s="284"/>
      <c r="J1708" s="284"/>
      <c r="K1708" s="284"/>
      <c r="L1708" s="284"/>
      <c r="M1708" s="284"/>
      <c r="N1708" s="284"/>
      <c r="O1708" s="284"/>
      <c r="P1708" s="284"/>
      <c r="Q1708" s="284"/>
      <c r="R1708" s="284"/>
      <c r="S1708" s="284"/>
      <c r="T1708" s="284"/>
      <c r="U1708" s="284"/>
      <c r="V1708" s="284"/>
      <c r="W1708" s="284"/>
    </row>
    <row r="1709" spans="2:23" x14ac:dyDescent="0.25">
      <c r="B1709" s="386" t="s">
        <v>254</v>
      </c>
      <c r="C1709" s="386"/>
      <c r="D1709" s="386" t="s">
        <v>254</v>
      </c>
      <c r="E1709" s="386"/>
      <c r="F1709" s="192" t="s">
        <v>313</v>
      </c>
      <c r="G1709" s="286" t="s">
        <v>314</v>
      </c>
      <c r="H1709" s="286" t="s">
        <v>316</v>
      </c>
      <c r="I1709" s="284"/>
      <c r="J1709" s="284"/>
      <c r="K1709" s="284"/>
      <c r="L1709" s="284"/>
      <c r="M1709" s="284"/>
      <c r="N1709" s="284"/>
      <c r="O1709" s="284"/>
      <c r="P1709" s="284"/>
      <c r="Q1709" s="284"/>
      <c r="R1709" s="284"/>
      <c r="S1709" s="284"/>
      <c r="T1709" s="284"/>
      <c r="U1709" s="284"/>
      <c r="V1709" s="284"/>
      <c r="W1709" s="284"/>
    </row>
    <row r="1710" spans="2:23" x14ac:dyDescent="0.25">
      <c r="B1710" s="286">
        <v>0</v>
      </c>
      <c r="C1710" s="286">
        <v>10</v>
      </c>
      <c r="D1710" s="286">
        <v>9</v>
      </c>
      <c r="E1710" s="286">
        <v>10</v>
      </c>
      <c r="F1710" s="286">
        <f>E1710-D1710+1</f>
        <v>2</v>
      </c>
      <c r="G1710" s="284">
        <v>1.5</v>
      </c>
      <c r="H1710" s="286">
        <f>(F1710*G1710+F1711*G1711+F1712*G1712+F1713*G1713+F1714*G1714+F1715*G1715)/100</f>
        <v>2.7</v>
      </c>
      <c r="I1710" s="284"/>
      <c r="J1710" s="284"/>
      <c r="K1710" s="284"/>
      <c r="L1710" s="284"/>
      <c r="M1710" s="284"/>
      <c r="N1710" s="284"/>
      <c r="O1710" s="284"/>
      <c r="P1710" s="284"/>
      <c r="Q1710" s="284"/>
      <c r="R1710" s="284"/>
      <c r="S1710" s="284"/>
      <c r="T1710" s="284"/>
      <c r="U1710" s="284"/>
      <c r="V1710" s="284"/>
      <c r="W1710" s="284"/>
    </row>
    <row r="1711" spans="2:23" x14ac:dyDescent="0.25">
      <c r="B1711" s="286">
        <v>11</v>
      </c>
      <c r="C1711" s="286">
        <v>25</v>
      </c>
      <c r="D1711" s="286">
        <v>11</v>
      </c>
      <c r="E1711" s="286">
        <v>25</v>
      </c>
      <c r="F1711" s="286">
        <f t="shared" ref="F1711:F1715" si="179">E1711-D1711+1</f>
        <v>15</v>
      </c>
      <c r="G1711" s="284">
        <v>2</v>
      </c>
      <c r="H1711" s="286"/>
      <c r="I1711" s="284"/>
      <c r="J1711" s="284"/>
      <c r="K1711" s="284"/>
      <c r="L1711" s="284"/>
      <c r="M1711" s="284"/>
      <c r="N1711" s="284"/>
      <c r="O1711" s="284"/>
      <c r="P1711" s="284"/>
      <c r="Q1711" s="284"/>
      <c r="R1711" s="284"/>
      <c r="S1711" s="284"/>
      <c r="T1711" s="284"/>
      <c r="U1711" s="284"/>
      <c r="V1711" s="284"/>
      <c r="W1711" s="284"/>
    </row>
    <row r="1712" spans="2:23" x14ac:dyDescent="0.25">
      <c r="B1712" s="286">
        <v>26</v>
      </c>
      <c r="C1712" s="286">
        <v>55</v>
      </c>
      <c r="D1712" s="286">
        <v>26</v>
      </c>
      <c r="E1712" s="286">
        <v>55</v>
      </c>
      <c r="F1712" s="286">
        <f t="shared" si="179"/>
        <v>30</v>
      </c>
      <c r="G1712" s="284">
        <v>2.5</v>
      </c>
      <c r="H1712" s="286"/>
      <c r="I1712" s="284"/>
      <c r="J1712" s="284"/>
      <c r="K1712" s="284"/>
      <c r="L1712" s="284"/>
      <c r="M1712" s="284"/>
      <c r="N1712" s="284"/>
      <c r="O1712" s="284"/>
      <c r="P1712" s="284"/>
      <c r="Q1712" s="284"/>
      <c r="R1712" s="284"/>
      <c r="S1712" s="284"/>
      <c r="T1712" s="284"/>
      <c r="U1712" s="284"/>
      <c r="V1712" s="284"/>
      <c r="W1712" s="284"/>
    </row>
    <row r="1713" spans="2:23" x14ac:dyDescent="0.25">
      <c r="B1713" s="286">
        <v>56</v>
      </c>
      <c r="C1713" s="286">
        <v>85</v>
      </c>
      <c r="D1713" s="286">
        <v>56</v>
      </c>
      <c r="E1713" s="286">
        <v>85</v>
      </c>
      <c r="F1713" s="286">
        <f t="shared" si="179"/>
        <v>30</v>
      </c>
      <c r="G1713" s="284">
        <v>3</v>
      </c>
      <c r="H1713" s="286"/>
      <c r="I1713" s="284"/>
      <c r="J1713" s="284"/>
      <c r="K1713" s="284"/>
      <c r="L1713" s="284"/>
      <c r="M1713" s="284"/>
      <c r="N1713" s="284"/>
      <c r="O1713" s="284"/>
      <c r="P1713" s="284"/>
      <c r="Q1713" s="284"/>
      <c r="R1713" s="284"/>
      <c r="S1713" s="284"/>
      <c r="T1713" s="284"/>
      <c r="U1713" s="284"/>
      <c r="V1713" s="284"/>
      <c r="W1713" s="284"/>
    </row>
    <row r="1714" spans="2:23" x14ac:dyDescent="0.25">
      <c r="B1714" s="286">
        <v>86</v>
      </c>
      <c r="C1714" s="286">
        <v>100</v>
      </c>
      <c r="D1714" s="286">
        <v>86</v>
      </c>
      <c r="E1714" s="286">
        <v>100</v>
      </c>
      <c r="F1714" s="286">
        <f t="shared" si="179"/>
        <v>15</v>
      </c>
      <c r="G1714" s="284">
        <v>3</v>
      </c>
      <c r="H1714" s="286"/>
      <c r="I1714" s="284"/>
      <c r="J1714" s="284"/>
      <c r="K1714" s="284"/>
      <c r="L1714" s="284"/>
      <c r="M1714" s="284"/>
      <c r="N1714" s="284"/>
      <c r="O1714" s="284"/>
      <c r="P1714" s="284"/>
      <c r="Q1714" s="284"/>
      <c r="R1714" s="284"/>
      <c r="S1714" s="284"/>
      <c r="T1714" s="284"/>
      <c r="U1714" s="284"/>
      <c r="V1714" s="284"/>
      <c r="W1714" s="284"/>
    </row>
    <row r="1715" spans="2:23" x14ac:dyDescent="0.25">
      <c r="B1715" s="286">
        <v>101</v>
      </c>
      <c r="C1715" s="286">
        <v>110</v>
      </c>
      <c r="D1715" s="286">
        <v>101</v>
      </c>
      <c r="E1715" s="286">
        <v>109</v>
      </c>
      <c r="F1715" s="286">
        <f t="shared" si="179"/>
        <v>9</v>
      </c>
      <c r="G1715" s="284">
        <v>3</v>
      </c>
      <c r="H1715" s="286"/>
      <c r="I1715" s="284"/>
      <c r="J1715" s="284"/>
      <c r="K1715" s="284"/>
      <c r="L1715" s="284"/>
      <c r="M1715" s="284"/>
      <c r="N1715" s="284"/>
      <c r="O1715" s="284"/>
      <c r="P1715" s="284"/>
      <c r="Q1715" s="284"/>
      <c r="R1715" s="284"/>
      <c r="S1715" s="284"/>
      <c r="T1715" s="284"/>
      <c r="U1715" s="284"/>
      <c r="V1715" s="284"/>
      <c r="W1715" s="284"/>
    </row>
    <row r="1716" spans="2:23" x14ac:dyDescent="0.25">
      <c r="B1716" s="286">
        <v>111</v>
      </c>
      <c r="C1716" s="286">
        <v>120</v>
      </c>
      <c r="D1716" s="286"/>
      <c r="E1716" s="286"/>
      <c r="F1716" s="286"/>
      <c r="G1716" s="284">
        <v>3</v>
      </c>
      <c r="H1716" s="286"/>
      <c r="I1716" s="284"/>
      <c r="J1716" s="284"/>
      <c r="K1716" s="284"/>
      <c r="L1716" s="284"/>
      <c r="M1716" s="284"/>
      <c r="N1716" s="284"/>
      <c r="O1716" s="284"/>
      <c r="P1716" s="284"/>
      <c r="Q1716" s="284"/>
      <c r="R1716" s="284"/>
      <c r="S1716" s="284"/>
      <c r="T1716" s="284"/>
      <c r="U1716" s="284"/>
      <c r="V1716" s="284"/>
      <c r="W1716" s="284"/>
    </row>
    <row r="1717" spans="2:23" x14ac:dyDescent="0.25">
      <c r="B1717" s="284"/>
      <c r="C1717" s="284"/>
      <c r="D1717" s="284"/>
      <c r="E1717" s="284"/>
      <c r="F1717" s="284"/>
      <c r="G1717" s="284"/>
      <c r="H1717" s="284"/>
      <c r="I1717" s="284"/>
      <c r="J1717" s="284"/>
      <c r="K1717" s="284"/>
      <c r="L1717" s="284"/>
      <c r="M1717" s="284"/>
      <c r="N1717" s="284"/>
      <c r="O1717" s="284"/>
      <c r="P1717" s="284"/>
      <c r="Q1717" s="284"/>
      <c r="R1717" s="284"/>
      <c r="S1717" s="284"/>
      <c r="T1717" s="284"/>
      <c r="U1717" s="284"/>
      <c r="V1717" s="284"/>
      <c r="W1717" s="284"/>
    </row>
    <row r="1718" spans="2:23" x14ac:dyDescent="0.25">
      <c r="B1718" s="386" t="s">
        <v>327</v>
      </c>
      <c r="C1718" s="386"/>
      <c r="D1718" s="386"/>
      <c r="E1718" s="386"/>
      <c r="F1718" s="386"/>
      <c r="G1718" s="286"/>
      <c r="H1718" s="286"/>
      <c r="I1718" s="284"/>
      <c r="J1718" s="284"/>
      <c r="K1718" s="284"/>
      <c r="L1718" s="284"/>
      <c r="M1718" s="284"/>
      <c r="N1718" s="284"/>
      <c r="O1718" s="284"/>
      <c r="P1718" s="284"/>
      <c r="Q1718" s="284"/>
      <c r="R1718" s="284"/>
      <c r="S1718" s="284"/>
      <c r="T1718" s="284"/>
      <c r="U1718" s="284"/>
      <c r="V1718" s="284"/>
      <c r="W1718" s="284"/>
    </row>
    <row r="1719" spans="2:23" x14ac:dyDescent="0.25">
      <c r="B1719" s="386" t="s">
        <v>254</v>
      </c>
      <c r="C1719" s="386"/>
      <c r="D1719" s="386" t="s">
        <v>254</v>
      </c>
      <c r="E1719" s="386"/>
      <c r="F1719" s="192" t="s">
        <v>313</v>
      </c>
      <c r="G1719" s="286" t="s">
        <v>314</v>
      </c>
      <c r="H1719" s="286" t="s">
        <v>316</v>
      </c>
      <c r="I1719" s="284"/>
      <c r="J1719" s="284"/>
      <c r="K1719" s="284"/>
      <c r="L1719" s="284"/>
      <c r="M1719" s="284"/>
      <c r="N1719" s="284"/>
      <c r="O1719" s="284"/>
      <c r="P1719" s="284"/>
      <c r="Q1719" s="284"/>
      <c r="R1719" s="284"/>
      <c r="S1719" s="284"/>
      <c r="T1719" s="284"/>
      <c r="U1719" s="284"/>
      <c r="V1719" s="284"/>
      <c r="W1719" s="284"/>
    </row>
    <row r="1720" spans="2:23" x14ac:dyDescent="0.25">
      <c r="B1720" s="286">
        <v>0</v>
      </c>
      <c r="C1720" s="286">
        <v>10</v>
      </c>
      <c r="D1720" s="286">
        <v>10</v>
      </c>
      <c r="E1720" s="286">
        <v>10</v>
      </c>
      <c r="F1720" s="286">
        <f>E1720-D1720+1</f>
        <v>1</v>
      </c>
      <c r="G1720" s="284">
        <v>1.5</v>
      </c>
      <c r="H1720" s="286">
        <f>(F1720*G1720+F1721*G1721+F1722*G1722+F1723*G1723+F1724*G1724+F1725*G1725)/100</f>
        <v>2.7149999999999999</v>
      </c>
      <c r="I1720" s="284"/>
      <c r="J1720" s="284"/>
      <c r="K1720" s="284"/>
      <c r="L1720" s="284"/>
      <c r="M1720" s="284"/>
      <c r="N1720" s="284"/>
      <c r="O1720" s="284"/>
      <c r="P1720" s="284"/>
      <c r="Q1720" s="284"/>
      <c r="R1720" s="284"/>
      <c r="S1720" s="284"/>
      <c r="T1720" s="284"/>
      <c r="U1720" s="284"/>
      <c r="V1720" s="284"/>
      <c r="W1720" s="284"/>
    </row>
    <row r="1721" spans="2:23" x14ac:dyDescent="0.25">
      <c r="B1721" s="286">
        <v>11</v>
      </c>
      <c r="C1721" s="286">
        <v>25</v>
      </c>
      <c r="D1721" s="286">
        <v>11</v>
      </c>
      <c r="E1721" s="286">
        <v>25</v>
      </c>
      <c r="F1721" s="286">
        <f t="shared" ref="F1721:F1725" si="180">E1721-D1721+1</f>
        <v>15</v>
      </c>
      <c r="G1721" s="284">
        <v>2</v>
      </c>
      <c r="H1721" s="286"/>
      <c r="I1721" s="284"/>
      <c r="J1721" s="284"/>
      <c r="K1721" s="284"/>
      <c r="L1721" s="284"/>
      <c r="M1721" s="284"/>
      <c r="N1721" s="284"/>
      <c r="O1721" s="284"/>
      <c r="P1721" s="284"/>
      <c r="Q1721" s="284"/>
      <c r="R1721" s="284"/>
      <c r="S1721" s="284"/>
      <c r="T1721" s="284"/>
      <c r="U1721" s="284"/>
      <c r="V1721" s="284"/>
      <c r="W1721" s="284"/>
    </row>
    <row r="1722" spans="2:23" x14ac:dyDescent="0.25">
      <c r="B1722" s="286">
        <v>26</v>
      </c>
      <c r="C1722" s="286">
        <v>55</v>
      </c>
      <c r="D1722" s="286">
        <v>26</v>
      </c>
      <c r="E1722" s="286">
        <v>55</v>
      </c>
      <c r="F1722" s="286">
        <f t="shared" si="180"/>
        <v>30</v>
      </c>
      <c r="G1722" s="284">
        <v>2.5</v>
      </c>
      <c r="H1722" s="286"/>
      <c r="I1722" s="284"/>
      <c r="J1722" s="284"/>
      <c r="K1722" s="284"/>
      <c r="L1722" s="284"/>
      <c r="M1722" s="284"/>
      <c r="N1722" s="284"/>
      <c r="O1722" s="284"/>
      <c r="P1722" s="284"/>
      <c r="Q1722" s="284"/>
      <c r="R1722" s="284"/>
      <c r="S1722" s="284"/>
      <c r="T1722" s="284"/>
      <c r="U1722" s="284"/>
      <c r="V1722" s="284"/>
      <c r="W1722" s="284"/>
    </row>
    <row r="1723" spans="2:23" x14ac:dyDescent="0.25">
      <c r="B1723" s="286">
        <v>56</v>
      </c>
      <c r="C1723" s="286">
        <v>85</v>
      </c>
      <c r="D1723" s="286">
        <v>56</v>
      </c>
      <c r="E1723" s="286">
        <v>85</v>
      </c>
      <c r="F1723" s="286">
        <f t="shared" si="180"/>
        <v>30</v>
      </c>
      <c r="G1723" s="284">
        <v>3</v>
      </c>
      <c r="H1723" s="286"/>
      <c r="I1723" s="284"/>
      <c r="J1723" s="284"/>
      <c r="K1723" s="284"/>
      <c r="L1723" s="284"/>
      <c r="M1723" s="284"/>
      <c r="N1723" s="284"/>
      <c r="O1723" s="284"/>
      <c r="P1723" s="284"/>
      <c r="Q1723" s="284"/>
      <c r="R1723" s="284"/>
      <c r="S1723" s="284"/>
      <c r="T1723" s="284"/>
      <c r="U1723" s="284"/>
      <c r="V1723" s="284"/>
      <c r="W1723" s="284"/>
    </row>
    <row r="1724" spans="2:23" x14ac:dyDescent="0.25">
      <c r="B1724" s="286">
        <v>86</v>
      </c>
      <c r="C1724" s="286">
        <v>100</v>
      </c>
      <c r="D1724" s="286">
        <v>86</v>
      </c>
      <c r="E1724" s="286">
        <v>100</v>
      </c>
      <c r="F1724" s="286">
        <f t="shared" si="180"/>
        <v>15</v>
      </c>
      <c r="G1724" s="284">
        <v>3</v>
      </c>
      <c r="H1724" s="286"/>
      <c r="I1724" s="284"/>
      <c r="J1724" s="284"/>
      <c r="K1724" s="284"/>
      <c r="L1724" s="284"/>
      <c r="M1724" s="284"/>
      <c r="N1724" s="284"/>
      <c r="O1724" s="284"/>
      <c r="P1724" s="284"/>
      <c r="Q1724" s="284"/>
      <c r="R1724" s="284"/>
      <c r="S1724" s="284"/>
      <c r="T1724" s="284"/>
      <c r="U1724" s="284"/>
      <c r="V1724" s="284"/>
      <c r="W1724" s="284"/>
    </row>
    <row r="1725" spans="2:23" x14ac:dyDescent="0.25">
      <c r="B1725" s="286">
        <v>101</v>
      </c>
      <c r="C1725" s="286">
        <v>110</v>
      </c>
      <c r="D1725" s="286">
        <v>101</v>
      </c>
      <c r="E1725" s="286">
        <v>110</v>
      </c>
      <c r="F1725" s="286">
        <f t="shared" si="180"/>
        <v>10</v>
      </c>
      <c r="G1725" s="284">
        <v>3</v>
      </c>
      <c r="H1725" s="286"/>
      <c r="I1725" s="284"/>
      <c r="J1725" s="284"/>
      <c r="K1725" s="284"/>
      <c r="L1725" s="284"/>
      <c r="M1725" s="284"/>
      <c r="N1725" s="284"/>
      <c r="O1725" s="284"/>
      <c r="P1725" s="284"/>
      <c r="Q1725" s="284"/>
      <c r="R1725" s="284"/>
      <c r="S1725" s="284"/>
      <c r="T1725" s="284"/>
      <c r="U1725" s="284"/>
      <c r="V1725" s="284"/>
      <c r="W1725" s="284"/>
    </row>
    <row r="1726" spans="2:23" x14ac:dyDescent="0.25">
      <c r="B1726" s="286">
        <v>111</v>
      </c>
      <c r="C1726" s="286">
        <v>120</v>
      </c>
      <c r="D1726" s="286"/>
      <c r="E1726" s="286"/>
      <c r="F1726" s="286"/>
      <c r="G1726" s="284">
        <v>3</v>
      </c>
      <c r="H1726" s="286"/>
      <c r="I1726" s="284"/>
      <c r="J1726" s="284"/>
      <c r="K1726" s="284"/>
      <c r="L1726" s="284"/>
      <c r="M1726" s="284"/>
      <c r="N1726" s="284"/>
      <c r="O1726" s="284"/>
      <c r="P1726" s="284"/>
      <c r="Q1726" s="284"/>
      <c r="R1726" s="284"/>
      <c r="S1726" s="284"/>
      <c r="T1726" s="284"/>
      <c r="U1726" s="284"/>
      <c r="V1726" s="284"/>
      <c r="W1726" s="284"/>
    </row>
    <row r="1727" spans="2:23" x14ac:dyDescent="0.25">
      <c r="B1727" s="284"/>
      <c r="C1727" s="284"/>
      <c r="D1727" s="284"/>
      <c r="E1727" s="284"/>
      <c r="F1727" s="284"/>
      <c r="G1727" s="284"/>
      <c r="H1727" s="284"/>
      <c r="I1727" s="284"/>
      <c r="J1727" s="284"/>
      <c r="K1727" s="284"/>
      <c r="L1727" s="284"/>
      <c r="M1727" s="284"/>
      <c r="N1727" s="284"/>
      <c r="O1727" s="284"/>
      <c r="P1727" s="284"/>
      <c r="Q1727" s="284"/>
      <c r="R1727" s="284"/>
      <c r="S1727" s="284"/>
      <c r="T1727" s="284"/>
      <c r="U1727" s="284"/>
      <c r="V1727" s="284"/>
      <c r="W1727" s="284"/>
    </row>
    <row r="1728" spans="2:23" x14ac:dyDescent="0.25">
      <c r="B1728" s="386" t="s">
        <v>328</v>
      </c>
      <c r="C1728" s="386"/>
      <c r="D1728" s="386"/>
      <c r="E1728" s="386"/>
      <c r="F1728" s="386"/>
      <c r="G1728" s="286"/>
      <c r="H1728" s="286"/>
      <c r="I1728" s="284"/>
      <c r="J1728" s="284"/>
      <c r="K1728" s="284"/>
      <c r="L1728" s="284"/>
      <c r="M1728" s="284"/>
      <c r="N1728" s="284"/>
      <c r="O1728" s="284"/>
      <c r="P1728" s="284"/>
      <c r="Q1728" s="284"/>
      <c r="R1728" s="284"/>
      <c r="S1728" s="284"/>
      <c r="T1728" s="284"/>
      <c r="U1728" s="284"/>
      <c r="V1728" s="284"/>
      <c r="W1728" s="284"/>
    </row>
    <row r="1729" spans="2:23" x14ac:dyDescent="0.25">
      <c r="B1729" s="386" t="s">
        <v>254</v>
      </c>
      <c r="C1729" s="386"/>
      <c r="D1729" s="386" t="s">
        <v>254</v>
      </c>
      <c r="E1729" s="386"/>
      <c r="F1729" s="192" t="s">
        <v>313</v>
      </c>
      <c r="G1729" s="286" t="s">
        <v>314</v>
      </c>
      <c r="H1729" s="286" t="s">
        <v>316</v>
      </c>
      <c r="I1729" s="284"/>
      <c r="J1729" s="284"/>
      <c r="K1729" s="284"/>
      <c r="L1729" s="284"/>
      <c r="M1729" s="284"/>
      <c r="N1729" s="284"/>
      <c r="O1729" s="284"/>
      <c r="P1729" s="284"/>
      <c r="Q1729" s="284"/>
      <c r="R1729" s="284"/>
      <c r="S1729" s="284"/>
      <c r="T1729" s="284"/>
      <c r="U1729" s="284"/>
      <c r="V1729" s="284"/>
      <c r="W1729" s="284"/>
    </row>
    <row r="1730" spans="2:23" x14ac:dyDescent="0.25">
      <c r="B1730" s="286">
        <v>0</v>
      </c>
      <c r="C1730" s="286">
        <v>10</v>
      </c>
      <c r="D1730" s="286"/>
      <c r="E1730" s="286"/>
      <c r="F1730" s="286">
        <v>0</v>
      </c>
      <c r="G1730" s="284">
        <v>1.5</v>
      </c>
      <c r="H1730" s="286">
        <f>(F1730*G1730+F1731*G1731+F1732*G1732+F1733*G1733+F1734*G1734+F1735*G1735+F1736*G1736)/100</f>
        <v>2.73</v>
      </c>
      <c r="I1730" s="284"/>
      <c r="J1730" s="284"/>
      <c r="K1730" s="284"/>
      <c r="L1730" s="284"/>
      <c r="M1730" s="284"/>
      <c r="N1730" s="284"/>
      <c r="O1730" s="284"/>
      <c r="P1730" s="284"/>
      <c r="Q1730" s="284"/>
      <c r="R1730" s="284"/>
      <c r="S1730" s="284"/>
      <c r="T1730" s="284"/>
      <c r="U1730" s="284"/>
      <c r="V1730" s="284"/>
      <c r="W1730" s="284"/>
    </row>
    <row r="1731" spans="2:23" x14ac:dyDescent="0.25">
      <c r="B1731" s="286">
        <v>11</v>
      </c>
      <c r="C1731" s="286">
        <v>25</v>
      </c>
      <c r="D1731" s="286">
        <v>11</v>
      </c>
      <c r="E1731" s="286">
        <v>25</v>
      </c>
      <c r="F1731" s="286">
        <f t="shared" ref="F1731:F1736" si="181">E1731-D1731+1</f>
        <v>15</v>
      </c>
      <c r="G1731" s="284">
        <v>2</v>
      </c>
      <c r="H1731" s="286"/>
      <c r="I1731" s="284"/>
      <c r="J1731" s="284"/>
      <c r="K1731" s="284"/>
      <c r="L1731" s="284"/>
      <c r="M1731" s="284"/>
      <c r="N1731" s="284"/>
      <c r="O1731" s="284"/>
      <c r="P1731" s="284"/>
      <c r="Q1731" s="284"/>
      <c r="R1731" s="284"/>
      <c r="S1731" s="284"/>
      <c r="T1731" s="284"/>
      <c r="U1731" s="284"/>
      <c r="V1731" s="284"/>
      <c r="W1731" s="284"/>
    </row>
    <row r="1732" spans="2:23" x14ac:dyDescent="0.25">
      <c r="B1732" s="286">
        <v>26</v>
      </c>
      <c r="C1732" s="286">
        <v>55</v>
      </c>
      <c r="D1732" s="286">
        <v>26</v>
      </c>
      <c r="E1732" s="286">
        <v>55</v>
      </c>
      <c r="F1732" s="286">
        <f t="shared" si="181"/>
        <v>30</v>
      </c>
      <c r="G1732" s="284">
        <v>2.5</v>
      </c>
      <c r="H1732" s="286"/>
      <c r="I1732" s="284"/>
      <c r="J1732" s="284"/>
      <c r="K1732" s="284"/>
      <c r="L1732" s="284"/>
      <c r="M1732" s="284"/>
      <c r="N1732" s="284"/>
      <c r="O1732" s="284"/>
      <c r="P1732" s="284"/>
      <c r="Q1732" s="284"/>
      <c r="R1732" s="284"/>
      <c r="S1732" s="284"/>
      <c r="T1732" s="284"/>
      <c r="U1732" s="284"/>
      <c r="V1732" s="284"/>
      <c r="W1732" s="284"/>
    </row>
    <row r="1733" spans="2:23" x14ac:dyDescent="0.25">
      <c r="B1733" s="286">
        <v>56</v>
      </c>
      <c r="C1733" s="286">
        <v>85</v>
      </c>
      <c r="D1733" s="286">
        <v>56</v>
      </c>
      <c r="E1733" s="286">
        <v>85</v>
      </c>
      <c r="F1733" s="286">
        <f t="shared" si="181"/>
        <v>30</v>
      </c>
      <c r="G1733" s="284">
        <v>3</v>
      </c>
      <c r="H1733" s="286"/>
      <c r="I1733" s="284"/>
      <c r="J1733" s="284"/>
      <c r="K1733" s="284"/>
      <c r="L1733" s="284"/>
      <c r="M1733" s="284"/>
      <c r="N1733" s="284"/>
      <c r="O1733" s="284"/>
      <c r="P1733" s="284"/>
      <c r="Q1733" s="284"/>
      <c r="R1733" s="284"/>
      <c r="S1733" s="284"/>
      <c r="T1733" s="284"/>
      <c r="U1733" s="284"/>
      <c r="V1733" s="284"/>
      <c r="W1733" s="284"/>
    </row>
    <row r="1734" spans="2:23" x14ac:dyDescent="0.25">
      <c r="B1734" s="286">
        <v>86</v>
      </c>
      <c r="C1734" s="286">
        <v>100</v>
      </c>
      <c r="D1734" s="286">
        <v>86</v>
      </c>
      <c r="E1734" s="286">
        <v>100</v>
      </c>
      <c r="F1734" s="286">
        <f t="shared" si="181"/>
        <v>15</v>
      </c>
      <c r="G1734" s="284">
        <v>3</v>
      </c>
      <c r="H1734" s="286"/>
      <c r="I1734" s="284"/>
      <c r="J1734" s="284"/>
      <c r="K1734" s="284"/>
      <c r="L1734" s="284"/>
      <c r="M1734" s="284"/>
      <c r="N1734" s="284"/>
      <c r="O1734" s="284"/>
      <c r="P1734" s="284"/>
      <c r="Q1734" s="284"/>
      <c r="R1734" s="284"/>
      <c r="S1734" s="284"/>
      <c r="T1734" s="284"/>
      <c r="U1734" s="284"/>
      <c r="V1734" s="284"/>
      <c r="W1734" s="284"/>
    </row>
    <row r="1735" spans="2:23" x14ac:dyDescent="0.25">
      <c r="B1735" s="286">
        <v>101</v>
      </c>
      <c r="C1735" s="286">
        <v>110</v>
      </c>
      <c r="D1735" s="286">
        <v>101</v>
      </c>
      <c r="E1735" s="286">
        <v>110</v>
      </c>
      <c r="F1735" s="286">
        <f t="shared" si="181"/>
        <v>10</v>
      </c>
      <c r="G1735" s="284">
        <v>3</v>
      </c>
      <c r="H1735" s="286"/>
      <c r="I1735" s="284"/>
      <c r="J1735" s="284"/>
      <c r="K1735" s="284"/>
      <c r="L1735" s="284"/>
      <c r="M1735" s="284"/>
      <c r="N1735" s="284"/>
      <c r="O1735" s="284"/>
      <c r="P1735" s="284"/>
      <c r="Q1735" s="284"/>
      <c r="R1735" s="284"/>
      <c r="S1735" s="284"/>
      <c r="T1735" s="284"/>
      <c r="U1735" s="284"/>
      <c r="V1735" s="284"/>
      <c r="W1735" s="284"/>
    </row>
    <row r="1736" spans="2:23" x14ac:dyDescent="0.25">
      <c r="B1736" s="286">
        <v>111</v>
      </c>
      <c r="C1736" s="286">
        <v>120</v>
      </c>
      <c r="D1736" s="286">
        <v>111</v>
      </c>
      <c r="E1736" s="286">
        <v>111</v>
      </c>
      <c r="F1736" s="286">
        <f t="shared" si="181"/>
        <v>1</v>
      </c>
      <c r="G1736" s="284">
        <v>3</v>
      </c>
      <c r="H1736" s="286"/>
      <c r="I1736" s="284"/>
      <c r="J1736" s="284"/>
      <c r="K1736" s="284"/>
      <c r="L1736" s="286"/>
      <c r="M1736" s="284"/>
      <c r="N1736" s="284"/>
      <c r="O1736" s="284"/>
      <c r="P1736" s="284"/>
      <c r="Q1736" s="284"/>
      <c r="R1736" s="284"/>
      <c r="S1736" s="284"/>
      <c r="T1736" s="284"/>
      <c r="U1736" s="284"/>
      <c r="V1736" s="284"/>
      <c r="W1736" s="284"/>
    </row>
    <row r="1737" spans="2:23" x14ac:dyDescent="0.25">
      <c r="B1737" s="284"/>
      <c r="C1737" s="284"/>
      <c r="D1737" s="284"/>
      <c r="E1737" s="284"/>
      <c r="F1737" s="284"/>
      <c r="G1737" s="284"/>
      <c r="H1737" s="284"/>
      <c r="I1737" s="284"/>
      <c r="J1737" s="284"/>
      <c r="K1737" s="284"/>
      <c r="L1737" s="284"/>
      <c r="M1737" s="284"/>
      <c r="N1737" s="284"/>
      <c r="O1737" s="284"/>
      <c r="P1737" s="284"/>
      <c r="Q1737" s="284"/>
      <c r="R1737" s="284"/>
      <c r="S1737" s="284"/>
      <c r="T1737" s="284"/>
      <c r="U1737" s="284"/>
      <c r="V1737" s="284"/>
      <c r="W1737" s="284"/>
    </row>
    <row r="1738" spans="2:23" x14ac:dyDescent="0.25">
      <c r="B1738" s="386" t="s">
        <v>329</v>
      </c>
      <c r="C1738" s="386"/>
      <c r="D1738" s="386"/>
      <c r="E1738" s="386"/>
      <c r="F1738" s="386"/>
      <c r="G1738" s="286"/>
      <c r="H1738" s="286"/>
      <c r="I1738" s="284"/>
      <c r="J1738" s="284"/>
      <c r="K1738" s="284"/>
      <c r="L1738" s="284"/>
      <c r="M1738" s="284"/>
      <c r="N1738" s="284"/>
      <c r="O1738" s="284"/>
      <c r="P1738" s="284"/>
      <c r="Q1738" s="284"/>
      <c r="R1738" s="284"/>
      <c r="S1738" s="284"/>
      <c r="T1738" s="284"/>
      <c r="U1738" s="284"/>
      <c r="V1738" s="284"/>
      <c r="W1738" s="284"/>
    </row>
    <row r="1739" spans="2:23" x14ac:dyDescent="0.25">
      <c r="B1739" s="386" t="s">
        <v>254</v>
      </c>
      <c r="C1739" s="386"/>
      <c r="D1739" s="386" t="s">
        <v>254</v>
      </c>
      <c r="E1739" s="386"/>
      <c r="F1739" s="192" t="s">
        <v>313</v>
      </c>
      <c r="G1739" s="286" t="s">
        <v>314</v>
      </c>
      <c r="H1739" s="286" t="s">
        <v>316</v>
      </c>
      <c r="I1739" s="284"/>
      <c r="J1739" s="284"/>
      <c r="K1739" s="284"/>
      <c r="L1739" s="284"/>
      <c r="M1739" s="284"/>
      <c r="N1739" s="284"/>
      <c r="O1739" s="284"/>
      <c r="P1739" s="284"/>
      <c r="Q1739" s="284"/>
      <c r="R1739" s="284"/>
      <c r="S1739" s="284"/>
      <c r="T1739" s="284"/>
      <c r="U1739" s="284"/>
      <c r="V1739" s="284"/>
      <c r="W1739" s="284"/>
    </row>
    <row r="1740" spans="2:23" x14ac:dyDescent="0.25">
      <c r="B1740" s="286">
        <v>0</v>
      </c>
      <c r="C1740" s="286">
        <v>10</v>
      </c>
      <c r="D1740" s="286"/>
      <c r="E1740" s="286"/>
      <c r="F1740" s="286">
        <v>0</v>
      </c>
      <c r="G1740" s="284">
        <v>1.5</v>
      </c>
      <c r="H1740" s="286">
        <f>(F1740*G1740+F1741*G1741+F1742*G1742+F1743*G1743+F1744*G1744+F1745*G1745+F1746*G1746)/100</f>
        <v>2.74</v>
      </c>
      <c r="I1740" s="284"/>
      <c r="J1740" s="284"/>
      <c r="K1740" s="284"/>
      <c r="L1740" s="284"/>
      <c r="M1740" s="284"/>
      <c r="N1740" s="284"/>
      <c r="O1740" s="284"/>
      <c r="P1740" s="284"/>
      <c r="Q1740" s="284"/>
      <c r="R1740" s="284"/>
      <c r="S1740" s="284"/>
      <c r="T1740" s="284"/>
      <c r="U1740" s="284"/>
      <c r="V1740" s="284"/>
      <c r="W1740" s="284"/>
    </row>
    <row r="1741" spans="2:23" x14ac:dyDescent="0.25">
      <c r="B1741" s="286">
        <v>11</v>
      </c>
      <c r="C1741" s="286">
        <v>25</v>
      </c>
      <c r="D1741" s="286">
        <v>12</v>
      </c>
      <c r="E1741" s="286">
        <v>25</v>
      </c>
      <c r="F1741" s="286">
        <f t="shared" ref="F1741:F1746" si="182">E1741-D1741+1</f>
        <v>14</v>
      </c>
      <c r="G1741" s="284">
        <v>2</v>
      </c>
      <c r="H1741" s="286"/>
      <c r="I1741" s="284"/>
      <c r="J1741" s="284"/>
      <c r="K1741" s="284"/>
      <c r="L1741" s="284"/>
      <c r="M1741" s="284"/>
      <c r="N1741" s="284"/>
      <c r="O1741" s="284"/>
      <c r="P1741" s="284"/>
      <c r="Q1741" s="284"/>
      <c r="R1741" s="284"/>
      <c r="S1741" s="284"/>
      <c r="T1741" s="284"/>
      <c r="U1741" s="284"/>
      <c r="V1741" s="284"/>
      <c r="W1741" s="284"/>
    </row>
    <row r="1742" spans="2:23" x14ac:dyDescent="0.25">
      <c r="B1742" s="286">
        <v>26</v>
      </c>
      <c r="C1742" s="286">
        <v>55</v>
      </c>
      <c r="D1742" s="286">
        <v>26</v>
      </c>
      <c r="E1742" s="286">
        <v>55</v>
      </c>
      <c r="F1742" s="286">
        <f t="shared" si="182"/>
        <v>30</v>
      </c>
      <c r="G1742" s="284">
        <v>2.5</v>
      </c>
      <c r="H1742" s="286"/>
      <c r="I1742" s="284"/>
      <c r="J1742" s="284"/>
      <c r="K1742" s="284"/>
      <c r="L1742" s="284"/>
      <c r="M1742" s="284"/>
      <c r="N1742" s="284"/>
      <c r="O1742" s="284"/>
      <c r="P1742" s="284"/>
      <c r="Q1742" s="284"/>
      <c r="R1742" s="284"/>
      <c r="S1742" s="284"/>
      <c r="T1742" s="284"/>
      <c r="U1742" s="284"/>
      <c r="V1742" s="284"/>
      <c r="W1742" s="284"/>
    </row>
    <row r="1743" spans="2:23" x14ac:dyDescent="0.25">
      <c r="B1743" s="286">
        <v>56</v>
      </c>
      <c r="C1743" s="286">
        <v>85</v>
      </c>
      <c r="D1743" s="286">
        <v>56</v>
      </c>
      <c r="E1743" s="286">
        <v>85</v>
      </c>
      <c r="F1743" s="286">
        <f t="shared" si="182"/>
        <v>30</v>
      </c>
      <c r="G1743" s="284">
        <v>3</v>
      </c>
      <c r="H1743" s="286"/>
      <c r="I1743" s="284"/>
      <c r="J1743" s="284"/>
      <c r="K1743" s="284"/>
      <c r="L1743" s="284"/>
      <c r="M1743" s="284"/>
      <c r="N1743" s="284"/>
      <c r="O1743" s="284"/>
      <c r="P1743" s="284"/>
      <c r="Q1743" s="284"/>
      <c r="R1743" s="284"/>
      <c r="S1743" s="284"/>
      <c r="T1743" s="284"/>
      <c r="U1743" s="284"/>
      <c r="V1743" s="284"/>
      <c r="W1743" s="284"/>
    </row>
    <row r="1744" spans="2:23" x14ac:dyDescent="0.25">
      <c r="B1744" s="286">
        <v>86</v>
      </c>
      <c r="C1744" s="286">
        <v>100</v>
      </c>
      <c r="D1744" s="286">
        <v>86</v>
      </c>
      <c r="E1744" s="286">
        <v>100</v>
      </c>
      <c r="F1744" s="286">
        <f t="shared" si="182"/>
        <v>15</v>
      </c>
      <c r="G1744" s="284">
        <v>3</v>
      </c>
      <c r="H1744" s="286"/>
      <c r="I1744" s="284"/>
      <c r="J1744" s="284"/>
      <c r="K1744" s="284"/>
      <c r="L1744" s="284"/>
      <c r="M1744" s="284"/>
      <c r="N1744" s="284"/>
      <c r="O1744" s="284"/>
      <c r="P1744" s="284"/>
      <c r="Q1744" s="284"/>
      <c r="R1744" s="284"/>
      <c r="S1744" s="284"/>
      <c r="T1744" s="284"/>
      <c r="U1744" s="284"/>
      <c r="V1744" s="284"/>
      <c r="W1744" s="284"/>
    </row>
    <row r="1745" spans="2:23" x14ac:dyDescent="0.25">
      <c r="B1745" s="286">
        <v>101</v>
      </c>
      <c r="C1745" s="286">
        <v>110</v>
      </c>
      <c r="D1745" s="286">
        <v>101</v>
      </c>
      <c r="E1745" s="286">
        <v>110</v>
      </c>
      <c r="F1745" s="286">
        <f t="shared" si="182"/>
        <v>10</v>
      </c>
      <c r="G1745" s="284">
        <v>3</v>
      </c>
      <c r="H1745" s="286"/>
      <c r="I1745" s="284"/>
      <c r="J1745" s="284"/>
      <c r="K1745" s="284"/>
      <c r="L1745" s="284"/>
      <c r="M1745" s="284"/>
      <c r="N1745" s="284"/>
      <c r="O1745" s="284"/>
      <c r="P1745" s="284"/>
      <c r="Q1745" s="284"/>
      <c r="R1745" s="284"/>
      <c r="S1745" s="284"/>
      <c r="T1745" s="284"/>
      <c r="U1745" s="284"/>
      <c r="V1745" s="284"/>
      <c r="W1745" s="284"/>
    </row>
    <row r="1746" spans="2:23" x14ac:dyDescent="0.25">
      <c r="B1746" s="286">
        <v>111</v>
      </c>
      <c r="C1746" s="286">
        <v>120</v>
      </c>
      <c r="D1746" s="286">
        <v>111</v>
      </c>
      <c r="E1746" s="286">
        <v>112</v>
      </c>
      <c r="F1746" s="286">
        <f t="shared" si="182"/>
        <v>2</v>
      </c>
      <c r="G1746" s="284">
        <v>3</v>
      </c>
      <c r="H1746" s="286"/>
      <c r="I1746" s="284"/>
      <c r="J1746" s="284"/>
      <c r="K1746" s="284"/>
      <c r="L1746" s="284"/>
      <c r="M1746" s="284"/>
      <c r="N1746" s="284"/>
      <c r="O1746" s="284"/>
      <c r="P1746" s="284"/>
      <c r="Q1746" s="284"/>
      <c r="R1746" s="284"/>
      <c r="S1746" s="284"/>
      <c r="T1746" s="284"/>
      <c r="U1746" s="284"/>
      <c r="V1746" s="284"/>
      <c r="W1746" s="284"/>
    </row>
    <row r="1747" spans="2:23" x14ac:dyDescent="0.25">
      <c r="B1747" s="284"/>
      <c r="C1747" s="284"/>
      <c r="D1747" s="284"/>
      <c r="E1747" s="284"/>
      <c r="F1747" s="284"/>
      <c r="G1747" s="284"/>
      <c r="H1747" s="284"/>
      <c r="I1747" s="284"/>
      <c r="J1747" s="284"/>
      <c r="K1747" s="284"/>
      <c r="L1747" s="284"/>
      <c r="M1747" s="284"/>
      <c r="N1747" s="284"/>
      <c r="O1747" s="284"/>
      <c r="P1747" s="284"/>
      <c r="Q1747" s="284"/>
      <c r="R1747" s="284"/>
      <c r="S1747" s="284"/>
      <c r="T1747" s="284"/>
      <c r="U1747" s="284"/>
      <c r="V1747" s="284"/>
      <c r="W1747" s="284"/>
    </row>
    <row r="1748" spans="2:23" x14ac:dyDescent="0.25">
      <c r="B1748" s="386" t="s">
        <v>330</v>
      </c>
      <c r="C1748" s="386"/>
      <c r="D1748" s="386"/>
      <c r="E1748" s="386"/>
      <c r="F1748" s="386"/>
      <c r="G1748" s="286"/>
      <c r="H1748" s="286"/>
      <c r="I1748" s="284"/>
      <c r="J1748" s="284"/>
      <c r="K1748" s="284"/>
      <c r="L1748" s="284"/>
      <c r="M1748" s="284"/>
      <c r="N1748" s="284"/>
      <c r="O1748" s="284"/>
      <c r="P1748" s="284"/>
      <c r="Q1748" s="284"/>
      <c r="R1748" s="284"/>
      <c r="S1748" s="284"/>
      <c r="T1748" s="284"/>
      <c r="U1748" s="284"/>
      <c r="V1748" s="284"/>
      <c r="W1748" s="284"/>
    </row>
    <row r="1749" spans="2:23" x14ac:dyDescent="0.25">
      <c r="B1749" s="386" t="s">
        <v>254</v>
      </c>
      <c r="C1749" s="386"/>
      <c r="D1749" s="386" t="s">
        <v>254</v>
      </c>
      <c r="E1749" s="386"/>
      <c r="F1749" s="192" t="s">
        <v>313</v>
      </c>
      <c r="G1749" s="286" t="s">
        <v>314</v>
      </c>
      <c r="H1749" s="286" t="s">
        <v>316</v>
      </c>
      <c r="I1749" s="284"/>
      <c r="J1749" s="284"/>
      <c r="K1749" s="284"/>
      <c r="L1749" s="284"/>
      <c r="M1749" s="284"/>
      <c r="N1749" s="284"/>
      <c r="O1749" s="284"/>
      <c r="P1749" s="284"/>
      <c r="Q1749" s="284"/>
      <c r="R1749" s="284"/>
      <c r="S1749" s="284"/>
      <c r="T1749" s="284"/>
      <c r="U1749" s="284"/>
      <c r="V1749" s="284"/>
      <c r="W1749" s="284"/>
    </row>
    <row r="1750" spans="2:23" x14ac:dyDescent="0.25">
      <c r="B1750" s="286">
        <v>0</v>
      </c>
      <c r="C1750" s="286">
        <v>10</v>
      </c>
      <c r="D1750" s="286"/>
      <c r="E1750" s="286"/>
      <c r="F1750" s="286">
        <v>0</v>
      </c>
      <c r="G1750" s="284">
        <v>1.5</v>
      </c>
      <c r="H1750" s="286">
        <f>(F1750*G1750+F1751*G1751+F1752*G1752+F1753*G1753+F1754*G1754+F1755*G1755+F1756*G1756)/100</f>
        <v>2.75</v>
      </c>
      <c r="I1750" s="284"/>
      <c r="J1750" s="284"/>
      <c r="K1750" s="284"/>
      <c r="L1750" s="284"/>
      <c r="M1750" s="284"/>
      <c r="N1750" s="284"/>
      <c r="O1750" s="284"/>
      <c r="P1750" s="284"/>
      <c r="Q1750" s="284"/>
      <c r="R1750" s="284"/>
      <c r="S1750" s="284"/>
      <c r="T1750" s="284"/>
      <c r="U1750" s="284"/>
      <c r="V1750" s="284"/>
      <c r="W1750" s="284"/>
    </row>
    <row r="1751" spans="2:23" x14ac:dyDescent="0.25">
      <c r="B1751" s="286">
        <v>11</v>
      </c>
      <c r="C1751" s="286">
        <v>25</v>
      </c>
      <c r="D1751" s="286">
        <v>13</v>
      </c>
      <c r="E1751" s="286">
        <v>25</v>
      </c>
      <c r="F1751" s="286">
        <f t="shared" ref="F1751:F1756" si="183">E1751-D1751+1</f>
        <v>13</v>
      </c>
      <c r="G1751" s="284">
        <v>2</v>
      </c>
      <c r="H1751" s="286"/>
      <c r="I1751" s="284"/>
      <c r="J1751" s="284"/>
      <c r="K1751" s="284"/>
      <c r="L1751" s="284"/>
      <c r="M1751" s="284"/>
      <c r="N1751" s="284"/>
      <c r="O1751" s="284"/>
      <c r="P1751" s="284"/>
      <c r="Q1751" s="284"/>
      <c r="R1751" s="284"/>
      <c r="S1751" s="284"/>
      <c r="T1751" s="284"/>
      <c r="U1751" s="284"/>
      <c r="V1751" s="284"/>
      <c r="W1751" s="284"/>
    </row>
    <row r="1752" spans="2:23" x14ac:dyDescent="0.25">
      <c r="B1752" s="286">
        <v>26</v>
      </c>
      <c r="C1752" s="286">
        <v>55</v>
      </c>
      <c r="D1752" s="286">
        <v>26</v>
      </c>
      <c r="E1752" s="286">
        <v>55</v>
      </c>
      <c r="F1752" s="286">
        <f t="shared" si="183"/>
        <v>30</v>
      </c>
      <c r="G1752" s="284">
        <v>2.5</v>
      </c>
      <c r="H1752" s="286"/>
      <c r="I1752" s="284"/>
      <c r="J1752" s="284"/>
      <c r="K1752" s="284"/>
      <c r="L1752" s="284"/>
      <c r="M1752" s="284"/>
      <c r="N1752" s="284"/>
      <c r="O1752" s="284"/>
      <c r="P1752" s="284"/>
      <c r="Q1752" s="284"/>
      <c r="R1752" s="284"/>
      <c r="S1752" s="284"/>
      <c r="T1752" s="284"/>
      <c r="U1752" s="284"/>
      <c r="V1752" s="284"/>
      <c r="W1752" s="284"/>
    </row>
    <row r="1753" spans="2:23" x14ac:dyDescent="0.25">
      <c r="B1753" s="286">
        <v>56</v>
      </c>
      <c r="C1753" s="286">
        <v>85</v>
      </c>
      <c r="D1753" s="286">
        <v>56</v>
      </c>
      <c r="E1753" s="286">
        <v>85</v>
      </c>
      <c r="F1753" s="286">
        <f t="shared" si="183"/>
        <v>30</v>
      </c>
      <c r="G1753" s="284">
        <v>3</v>
      </c>
      <c r="H1753" s="286"/>
      <c r="I1753" s="284"/>
      <c r="J1753" s="284"/>
      <c r="K1753" s="284"/>
      <c r="L1753" s="284"/>
      <c r="M1753" s="284"/>
      <c r="N1753" s="284"/>
      <c r="O1753" s="284"/>
      <c r="P1753" s="284"/>
      <c r="Q1753" s="284"/>
      <c r="R1753" s="284"/>
      <c r="S1753" s="284"/>
      <c r="T1753" s="284"/>
      <c r="U1753" s="284"/>
      <c r="V1753" s="284"/>
      <c r="W1753" s="284"/>
    </row>
    <row r="1754" spans="2:23" x14ac:dyDescent="0.25">
      <c r="B1754" s="286">
        <v>86</v>
      </c>
      <c r="C1754" s="286">
        <v>100</v>
      </c>
      <c r="D1754" s="286">
        <v>86</v>
      </c>
      <c r="E1754" s="286">
        <v>100</v>
      </c>
      <c r="F1754" s="286">
        <f t="shared" si="183"/>
        <v>15</v>
      </c>
      <c r="G1754" s="284">
        <v>3</v>
      </c>
      <c r="H1754" s="286"/>
      <c r="I1754" s="284"/>
      <c r="J1754" s="284"/>
      <c r="K1754" s="284"/>
      <c r="L1754" s="284"/>
      <c r="M1754" s="284"/>
      <c r="N1754" s="284"/>
      <c r="O1754" s="284"/>
      <c r="P1754" s="284"/>
      <c r="Q1754" s="284"/>
      <c r="R1754" s="284"/>
      <c r="S1754" s="284"/>
      <c r="T1754" s="284"/>
      <c r="U1754" s="284"/>
      <c r="V1754" s="284"/>
      <c r="W1754" s="284"/>
    </row>
    <row r="1755" spans="2:23" x14ac:dyDescent="0.25">
      <c r="B1755" s="286">
        <v>101</v>
      </c>
      <c r="C1755" s="286">
        <v>110</v>
      </c>
      <c r="D1755" s="286">
        <v>101</v>
      </c>
      <c r="E1755" s="286">
        <v>110</v>
      </c>
      <c r="F1755" s="286">
        <f t="shared" si="183"/>
        <v>10</v>
      </c>
      <c r="G1755" s="284">
        <v>3</v>
      </c>
      <c r="H1755" s="286"/>
      <c r="I1755" s="284"/>
      <c r="J1755" s="284"/>
      <c r="K1755" s="284"/>
      <c r="L1755" s="284"/>
      <c r="M1755" s="284"/>
      <c r="N1755" s="284"/>
      <c r="O1755" s="284"/>
      <c r="P1755" s="284"/>
      <c r="Q1755" s="284"/>
      <c r="R1755" s="284"/>
      <c r="S1755" s="284"/>
      <c r="T1755" s="284"/>
      <c r="U1755" s="284"/>
      <c r="V1755" s="284"/>
      <c r="W1755" s="284"/>
    </row>
    <row r="1756" spans="2:23" x14ac:dyDescent="0.25">
      <c r="B1756" s="286">
        <v>111</v>
      </c>
      <c r="C1756" s="286">
        <v>120</v>
      </c>
      <c r="D1756" s="286">
        <v>111</v>
      </c>
      <c r="E1756" s="286">
        <v>113</v>
      </c>
      <c r="F1756" s="286">
        <f t="shared" si="183"/>
        <v>3</v>
      </c>
      <c r="G1756" s="284">
        <v>3</v>
      </c>
      <c r="H1756" s="286"/>
      <c r="I1756" s="284"/>
      <c r="J1756" s="284"/>
      <c r="K1756" s="284"/>
      <c r="L1756" s="284"/>
      <c r="M1756" s="284"/>
      <c r="N1756" s="284"/>
      <c r="O1756" s="284"/>
      <c r="P1756" s="284"/>
      <c r="Q1756" s="284"/>
      <c r="R1756" s="284"/>
      <c r="S1756" s="284"/>
      <c r="T1756" s="284"/>
      <c r="U1756" s="284"/>
      <c r="V1756" s="284"/>
      <c r="W1756" s="284"/>
    </row>
    <row r="1757" spans="2:23" x14ac:dyDescent="0.25">
      <c r="B1757" s="284"/>
      <c r="C1757" s="284"/>
      <c r="D1757" s="284"/>
      <c r="E1757" s="284"/>
      <c r="F1757" s="284"/>
      <c r="G1757" s="284"/>
      <c r="H1757" s="284"/>
      <c r="I1757" s="284"/>
      <c r="J1757" s="284"/>
      <c r="K1757" s="284"/>
      <c r="L1757" s="284"/>
      <c r="M1757" s="284"/>
      <c r="N1757" s="284"/>
      <c r="O1757" s="284"/>
      <c r="P1757" s="284"/>
      <c r="Q1757" s="284"/>
      <c r="R1757" s="284"/>
      <c r="S1757" s="284"/>
      <c r="T1757" s="284"/>
      <c r="U1757" s="284"/>
      <c r="V1757" s="284"/>
      <c r="W1757" s="284"/>
    </row>
    <row r="1758" spans="2:23" x14ac:dyDescent="0.25">
      <c r="B1758" s="386" t="s">
        <v>331</v>
      </c>
      <c r="C1758" s="386"/>
      <c r="D1758" s="386"/>
      <c r="E1758" s="386"/>
      <c r="F1758" s="386"/>
      <c r="G1758" s="286"/>
      <c r="H1758" s="286"/>
      <c r="I1758" s="284"/>
      <c r="J1758" s="284"/>
      <c r="K1758" s="284"/>
      <c r="L1758" s="284"/>
      <c r="M1758" s="284"/>
      <c r="N1758" s="284"/>
      <c r="O1758" s="284"/>
      <c r="P1758" s="284"/>
      <c r="Q1758" s="284"/>
      <c r="R1758" s="284"/>
      <c r="S1758" s="284"/>
      <c r="T1758" s="284"/>
      <c r="U1758" s="284"/>
      <c r="V1758" s="284"/>
      <c r="W1758" s="284"/>
    </row>
    <row r="1759" spans="2:23" x14ac:dyDescent="0.25">
      <c r="B1759" s="386" t="s">
        <v>254</v>
      </c>
      <c r="C1759" s="386"/>
      <c r="D1759" s="386" t="s">
        <v>254</v>
      </c>
      <c r="E1759" s="386"/>
      <c r="F1759" s="192" t="s">
        <v>313</v>
      </c>
      <c r="G1759" s="286" t="s">
        <v>314</v>
      </c>
      <c r="H1759" s="286" t="s">
        <v>316</v>
      </c>
      <c r="I1759" s="284"/>
      <c r="J1759" s="284"/>
      <c r="K1759" s="284"/>
      <c r="L1759" s="284"/>
      <c r="M1759" s="284"/>
      <c r="N1759" s="284"/>
      <c r="O1759" s="284"/>
      <c r="P1759" s="284"/>
      <c r="Q1759" s="284"/>
      <c r="R1759" s="284"/>
      <c r="S1759" s="284"/>
      <c r="T1759" s="284"/>
      <c r="U1759" s="284"/>
      <c r="V1759" s="284"/>
      <c r="W1759" s="284"/>
    </row>
    <row r="1760" spans="2:23" x14ac:dyDescent="0.25">
      <c r="B1760" s="286">
        <v>0</v>
      </c>
      <c r="C1760" s="286">
        <v>10</v>
      </c>
      <c r="D1760" s="286"/>
      <c r="E1760" s="286"/>
      <c r="F1760" s="286">
        <v>0</v>
      </c>
      <c r="G1760" s="284">
        <v>1.5</v>
      </c>
      <c r="H1760" s="286">
        <f>(F1760*G1760+F1761*G1761+F1762*G1762+F1763*G1763+F1764*G1764+F1765*G1765+F1766*G1766)/100</f>
        <v>2.76</v>
      </c>
      <c r="I1760" s="284"/>
      <c r="J1760" s="284"/>
      <c r="K1760" s="284"/>
      <c r="L1760" s="284"/>
      <c r="M1760" s="284"/>
      <c r="N1760" s="284"/>
      <c r="O1760" s="284"/>
      <c r="P1760" s="284"/>
      <c r="Q1760" s="284"/>
      <c r="R1760" s="284"/>
      <c r="S1760" s="284"/>
      <c r="T1760" s="284"/>
      <c r="U1760" s="284"/>
      <c r="V1760" s="284"/>
      <c r="W1760" s="284"/>
    </row>
    <row r="1761" spans="2:23" x14ac:dyDescent="0.25">
      <c r="B1761" s="286">
        <v>11</v>
      </c>
      <c r="C1761" s="286">
        <v>25</v>
      </c>
      <c r="D1761" s="286">
        <v>14</v>
      </c>
      <c r="E1761" s="286">
        <v>25</v>
      </c>
      <c r="F1761" s="286">
        <f t="shared" ref="F1761:F1766" si="184">E1761-D1761+1</f>
        <v>12</v>
      </c>
      <c r="G1761" s="284">
        <v>2</v>
      </c>
      <c r="H1761" s="286"/>
      <c r="I1761" s="284"/>
      <c r="J1761" s="284"/>
      <c r="K1761" s="284"/>
      <c r="L1761" s="284"/>
      <c r="M1761" s="284"/>
      <c r="N1761" s="284"/>
      <c r="O1761" s="284"/>
      <c r="P1761" s="284"/>
      <c r="Q1761" s="284"/>
      <c r="R1761" s="284"/>
      <c r="S1761" s="284"/>
      <c r="T1761" s="284"/>
      <c r="U1761" s="284"/>
      <c r="V1761" s="284"/>
      <c r="W1761" s="284"/>
    </row>
    <row r="1762" spans="2:23" x14ac:dyDescent="0.25">
      <c r="B1762" s="286">
        <v>26</v>
      </c>
      <c r="C1762" s="286">
        <v>55</v>
      </c>
      <c r="D1762" s="286">
        <v>26</v>
      </c>
      <c r="E1762" s="286">
        <v>55</v>
      </c>
      <c r="F1762" s="286">
        <f t="shared" si="184"/>
        <v>30</v>
      </c>
      <c r="G1762" s="284">
        <v>2.5</v>
      </c>
      <c r="H1762" s="286"/>
      <c r="I1762" s="284"/>
      <c r="J1762" s="284"/>
      <c r="K1762" s="284"/>
      <c r="L1762" s="284"/>
      <c r="M1762" s="284"/>
      <c r="N1762" s="284"/>
      <c r="O1762" s="284"/>
      <c r="P1762" s="284"/>
      <c r="Q1762" s="284"/>
      <c r="R1762" s="284"/>
      <c r="S1762" s="284"/>
      <c r="T1762" s="284"/>
      <c r="U1762" s="284"/>
      <c r="V1762" s="284"/>
      <c r="W1762" s="284"/>
    </row>
    <row r="1763" spans="2:23" x14ac:dyDescent="0.25">
      <c r="B1763" s="286">
        <v>56</v>
      </c>
      <c r="C1763" s="286">
        <v>85</v>
      </c>
      <c r="D1763" s="286">
        <v>56</v>
      </c>
      <c r="E1763" s="286">
        <v>85</v>
      </c>
      <c r="F1763" s="286">
        <f t="shared" si="184"/>
        <v>30</v>
      </c>
      <c r="G1763" s="284">
        <v>3</v>
      </c>
      <c r="H1763" s="286"/>
      <c r="I1763" s="284"/>
      <c r="J1763" s="284"/>
      <c r="K1763" s="284"/>
      <c r="L1763" s="284"/>
      <c r="M1763" s="284"/>
      <c r="N1763" s="284"/>
      <c r="O1763" s="284"/>
      <c r="P1763" s="284"/>
      <c r="Q1763" s="284"/>
      <c r="R1763" s="284"/>
      <c r="S1763" s="284"/>
      <c r="T1763" s="284"/>
      <c r="U1763" s="284"/>
      <c r="V1763" s="284"/>
      <c r="W1763" s="284"/>
    </row>
    <row r="1764" spans="2:23" x14ac:dyDescent="0.25">
      <c r="B1764" s="286">
        <v>86</v>
      </c>
      <c r="C1764" s="286">
        <v>100</v>
      </c>
      <c r="D1764" s="286">
        <v>86</v>
      </c>
      <c r="E1764" s="286">
        <v>100</v>
      </c>
      <c r="F1764" s="286">
        <f t="shared" si="184"/>
        <v>15</v>
      </c>
      <c r="G1764" s="284">
        <v>3</v>
      </c>
      <c r="H1764" s="286"/>
      <c r="I1764" s="284"/>
      <c r="J1764" s="284"/>
      <c r="K1764" s="284"/>
      <c r="L1764" s="284"/>
      <c r="M1764" s="284"/>
      <c r="N1764" s="284"/>
      <c r="O1764" s="284"/>
      <c r="P1764" s="284"/>
      <c r="Q1764" s="284"/>
      <c r="R1764" s="284"/>
      <c r="S1764" s="284"/>
      <c r="T1764" s="284"/>
      <c r="U1764" s="284"/>
      <c r="V1764" s="284"/>
      <c r="W1764" s="284"/>
    </row>
    <row r="1765" spans="2:23" x14ac:dyDescent="0.25">
      <c r="B1765" s="286">
        <v>101</v>
      </c>
      <c r="C1765" s="286">
        <v>110</v>
      </c>
      <c r="D1765" s="286">
        <v>101</v>
      </c>
      <c r="E1765" s="286">
        <v>110</v>
      </c>
      <c r="F1765" s="286">
        <f t="shared" si="184"/>
        <v>10</v>
      </c>
      <c r="G1765" s="284">
        <v>3</v>
      </c>
      <c r="H1765" s="286"/>
      <c r="I1765" s="284"/>
      <c r="J1765" s="284"/>
      <c r="K1765" s="284"/>
      <c r="L1765" s="284"/>
      <c r="M1765" s="284"/>
      <c r="N1765" s="284"/>
      <c r="O1765" s="284"/>
      <c r="P1765" s="284"/>
      <c r="Q1765" s="284"/>
      <c r="R1765" s="284"/>
      <c r="S1765" s="284"/>
      <c r="T1765" s="284"/>
      <c r="U1765" s="284"/>
      <c r="V1765" s="284"/>
      <c r="W1765" s="284"/>
    </row>
    <row r="1766" spans="2:23" x14ac:dyDescent="0.25">
      <c r="B1766" s="286">
        <v>111</v>
      </c>
      <c r="C1766" s="286">
        <v>120</v>
      </c>
      <c r="D1766" s="286">
        <v>111</v>
      </c>
      <c r="E1766" s="286">
        <v>114</v>
      </c>
      <c r="F1766" s="286">
        <f t="shared" si="184"/>
        <v>4</v>
      </c>
      <c r="G1766" s="284">
        <v>3</v>
      </c>
      <c r="H1766" s="286"/>
      <c r="I1766" s="284"/>
      <c r="J1766" s="284"/>
      <c r="K1766" s="284"/>
      <c r="L1766" s="284"/>
      <c r="M1766" s="284"/>
      <c r="N1766" s="284"/>
      <c r="O1766" s="284"/>
      <c r="P1766" s="284"/>
      <c r="Q1766" s="284"/>
      <c r="R1766" s="284"/>
      <c r="S1766" s="284"/>
      <c r="T1766" s="284"/>
      <c r="U1766" s="284"/>
      <c r="V1766" s="284"/>
      <c r="W1766" s="284"/>
    </row>
    <row r="1767" spans="2:23" x14ac:dyDescent="0.25">
      <c r="B1767" s="284"/>
      <c r="C1767" s="284"/>
      <c r="D1767" s="284"/>
      <c r="E1767" s="284"/>
      <c r="F1767" s="284"/>
      <c r="G1767" s="284"/>
      <c r="H1767" s="284"/>
      <c r="I1767" s="284"/>
      <c r="J1767" s="284"/>
      <c r="K1767" s="284"/>
      <c r="L1767" s="284"/>
      <c r="M1767" s="284"/>
      <c r="N1767" s="284"/>
      <c r="O1767" s="284"/>
      <c r="P1767" s="284"/>
      <c r="Q1767" s="284"/>
      <c r="R1767" s="284"/>
      <c r="S1767" s="284"/>
      <c r="T1767" s="284"/>
      <c r="U1767" s="284"/>
      <c r="V1767" s="284"/>
      <c r="W1767" s="284"/>
    </row>
    <row r="1768" spans="2:23" x14ac:dyDescent="0.25">
      <c r="B1768" s="386" t="s">
        <v>332</v>
      </c>
      <c r="C1768" s="386"/>
      <c r="D1768" s="386"/>
      <c r="E1768" s="386"/>
      <c r="F1768" s="386"/>
      <c r="G1768" s="286"/>
      <c r="H1768" s="286"/>
      <c r="I1768" s="284"/>
      <c r="J1768" s="284"/>
      <c r="K1768" s="284"/>
      <c r="L1768" s="284"/>
      <c r="M1768" s="284"/>
      <c r="N1768" s="284"/>
      <c r="O1768" s="284"/>
      <c r="P1768" s="284"/>
      <c r="Q1768" s="284"/>
      <c r="R1768" s="284"/>
      <c r="S1768" s="284"/>
      <c r="T1768" s="284"/>
      <c r="U1768" s="284"/>
      <c r="V1768" s="284"/>
      <c r="W1768" s="284"/>
    </row>
    <row r="1769" spans="2:23" x14ac:dyDescent="0.25">
      <c r="B1769" s="386" t="s">
        <v>254</v>
      </c>
      <c r="C1769" s="386"/>
      <c r="D1769" s="386" t="s">
        <v>254</v>
      </c>
      <c r="E1769" s="386"/>
      <c r="F1769" s="192" t="s">
        <v>313</v>
      </c>
      <c r="G1769" s="286" t="s">
        <v>314</v>
      </c>
      <c r="H1769" s="286" t="s">
        <v>316</v>
      </c>
      <c r="I1769" s="284"/>
      <c r="J1769" s="284"/>
      <c r="K1769" s="284"/>
      <c r="L1769" s="284"/>
      <c r="M1769" s="284"/>
      <c r="N1769" s="284"/>
      <c r="O1769" s="284"/>
      <c r="P1769" s="284"/>
      <c r="Q1769" s="284"/>
      <c r="R1769" s="284"/>
      <c r="S1769" s="284"/>
      <c r="T1769" s="284"/>
      <c r="U1769" s="284"/>
      <c r="V1769" s="284"/>
      <c r="W1769" s="284"/>
    </row>
    <row r="1770" spans="2:23" x14ac:dyDescent="0.25">
      <c r="B1770" s="286">
        <v>0</v>
      </c>
      <c r="C1770" s="286">
        <v>10</v>
      </c>
      <c r="D1770" s="286"/>
      <c r="E1770" s="286"/>
      <c r="F1770" s="286">
        <v>0</v>
      </c>
      <c r="G1770" s="284">
        <v>1.5</v>
      </c>
      <c r="H1770" s="286">
        <f>(F1770*G1770+F1771*G1771+F1772*G1772+F1773*G1773+F1774*G1774+F1775*G1775+F1776*G1776)/100</f>
        <v>2.77</v>
      </c>
      <c r="I1770" s="284"/>
      <c r="J1770" s="284"/>
      <c r="K1770" s="284"/>
      <c r="L1770" s="284"/>
      <c r="M1770" s="284"/>
      <c r="N1770" s="284"/>
      <c r="O1770" s="284"/>
      <c r="P1770" s="284"/>
      <c r="Q1770" s="284"/>
      <c r="R1770" s="284"/>
      <c r="S1770" s="284"/>
      <c r="T1770" s="284"/>
      <c r="U1770" s="284"/>
      <c r="V1770" s="284"/>
      <c r="W1770" s="284"/>
    </row>
    <row r="1771" spans="2:23" x14ac:dyDescent="0.25">
      <c r="B1771" s="286">
        <v>11</v>
      </c>
      <c r="C1771" s="286">
        <v>25</v>
      </c>
      <c r="D1771" s="286">
        <v>15</v>
      </c>
      <c r="E1771" s="286">
        <v>25</v>
      </c>
      <c r="F1771" s="286">
        <f t="shared" ref="F1771:F1776" si="185">E1771-D1771+1</f>
        <v>11</v>
      </c>
      <c r="G1771" s="284">
        <v>2</v>
      </c>
      <c r="H1771" s="286"/>
      <c r="I1771" s="284"/>
      <c r="J1771" s="284"/>
      <c r="K1771" s="284"/>
      <c r="L1771" s="284"/>
      <c r="M1771" s="284"/>
      <c r="N1771" s="284"/>
      <c r="O1771" s="284"/>
      <c r="P1771" s="284"/>
      <c r="Q1771" s="284"/>
      <c r="R1771" s="284"/>
      <c r="S1771" s="284"/>
      <c r="T1771" s="284"/>
      <c r="U1771" s="284"/>
      <c r="V1771" s="284"/>
      <c r="W1771" s="284"/>
    </row>
    <row r="1772" spans="2:23" x14ac:dyDescent="0.25">
      <c r="B1772" s="286">
        <v>26</v>
      </c>
      <c r="C1772" s="286">
        <v>55</v>
      </c>
      <c r="D1772" s="286">
        <v>26</v>
      </c>
      <c r="E1772" s="286">
        <v>55</v>
      </c>
      <c r="F1772" s="286">
        <f t="shared" si="185"/>
        <v>30</v>
      </c>
      <c r="G1772" s="284">
        <v>2.5</v>
      </c>
      <c r="H1772" s="286"/>
      <c r="I1772" s="284"/>
      <c r="J1772" s="284"/>
      <c r="K1772" s="284"/>
      <c r="L1772" s="284"/>
      <c r="M1772" s="284"/>
      <c r="N1772" s="284"/>
      <c r="O1772" s="284"/>
      <c r="P1772" s="284"/>
      <c r="Q1772" s="284"/>
      <c r="R1772" s="284"/>
      <c r="S1772" s="284"/>
      <c r="T1772" s="284"/>
      <c r="U1772" s="284"/>
      <c r="V1772" s="284"/>
      <c r="W1772" s="284"/>
    </row>
    <row r="1773" spans="2:23" x14ac:dyDescent="0.25">
      <c r="B1773" s="286">
        <v>56</v>
      </c>
      <c r="C1773" s="286">
        <v>85</v>
      </c>
      <c r="D1773" s="286">
        <v>56</v>
      </c>
      <c r="E1773" s="286">
        <v>85</v>
      </c>
      <c r="F1773" s="286">
        <f t="shared" si="185"/>
        <v>30</v>
      </c>
      <c r="G1773" s="284">
        <v>3</v>
      </c>
      <c r="H1773" s="286"/>
      <c r="I1773" s="284"/>
      <c r="J1773" s="284"/>
      <c r="K1773" s="284"/>
      <c r="L1773" s="284"/>
      <c r="M1773" s="284"/>
      <c r="N1773" s="284"/>
      <c r="O1773" s="284"/>
      <c r="P1773" s="284"/>
      <c r="Q1773" s="284"/>
      <c r="R1773" s="284"/>
      <c r="S1773" s="284"/>
      <c r="T1773" s="284"/>
      <c r="U1773" s="284"/>
      <c r="V1773" s="284"/>
      <c r="W1773" s="284"/>
    </row>
    <row r="1774" spans="2:23" x14ac:dyDescent="0.25">
      <c r="B1774" s="286">
        <v>86</v>
      </c>
      <c r="C1774" s="286">
        <v>100</v>
      </c>
      <c r="D1774" s="286">
        <v>86</v>
      </c>
      <c r="E1774" s="286">
        <v>100</v>
      </c>
      <c r="F1774" s="286">
        <f t="shared" si="185"/>
        <v>15</v>
      </c>
      <c r="G1774" s="284">
        <v>3</v>
      </c>
      <c r="H1774" s="286"/>
      <c r="I1774" s="284"/>
      <c r="J1774" s="284"/>
      <c r="K1774" s="284"/>
      <c r="L1774" s="284"/>
      <c r="M1774" s="284"/>
      <c r="N1774" s="284"/>
      <c r="O1774" s="284"/>
      <c r="P1774" s="284"/>
      <c r="Q1774" s="284"/>
      <c r="R1774" s="284"/>
      <c r="S1774" s="284"/>
      <c r="T1774" s="284"/>
      <c r="U1774" s="284"/>
      <c r="V1774" s="284"/>
      <c r="W1774" s="284"/>
    </row>
    <row r="1775" spans="2:23" x14ac:dyDescent="0.25">
      <c r="B1775" s="286">
        <v>101</v>
      </c>
      <c r="C1775" s="286">
        <v>110</v>
      </c>
      <c r="D1775" s="286">
        <v>101</v>
      </c>
      <c r="E1775" s="286">
        <v>110</v>
      </c>
      <c r="F1775" s="286">
        <f t="shared" si="185"/>
        <v>10</v>
      </c>
      <c r="G1775" s="284">
        <v>3</v>
      </c>
      <c r="H1775" s="286"/>
      <c r="I1775" s="284"/>
      <c r="J1775" s="284"/>
      <c r="K1775" s="284"/>
      <c r="L1775" s="284"/>
      <c r="M1775" s="284"/>
      <c r="N1775" s="284"/>
      <c r="O1775" s="284"/>
      <c r="P1775" s="284"/>
      <c r="Q1775" s="284"/>
      <c r="R1775" s="284"/>
      <c r="S1775" s="284"/>
      <c r="T1775" s="284"/>
      <c r="U1775" s="284"/>
      <c r="V1775" s="284"/>
      <c r="W1775" s="284"/>
    </row>
    <row r="1776" spans="2:23" x14ac:dyDescent="0.25">
      <c r="B1776" s="286">
        <v>111</v>
      </c>
      <c r="C1776" s="286">
        <v>120</v>
      </c>
      <c r="D1776" s="286">
        <v>111</v>
      </c>
      <c r="E1776" s="286">
        <v>115</v>
      </c>
      <c r="F1776" s="286">
        <f t="shared" si="185"/>
        <v>5</v>
      </c>
      <c r="G1776" s="284">
        <v>3</v>
      </c>
      <c r="H1776" s="286"/>
      <c r="I1776" s="284"/>
      <c r="J1776" s="284"/>
      <c r="K1776" s="284"/>
      <c r="L1776" s="284"/>
      <c r="M1776" s="284"/>
      <c r="N1776" s="284"/>
      <c r="O1776" s="284"/>
      <c r="P1776" s="284"/>
      <c r="Q1776" s="284"/>
      <c r="R1776" s="284"/>
      <c r="S1776" s="284"/>
      <c r="T1776" s="284"/>
      <c r="U1776" s="284"/>
      <c r="V1776" s="284"/>
      <c r="W1776" s="284"/>
    </row>
    <row r="1777" spans="2:23" x14ac:dyDescent="0.25">
      <c r="B1777" s="284"/>
      <c r="C1777" s="284"/>
      <c r="D1777" s="284"/>
      <c r="E1777" s="284"/>
      <c r="F1777" s="284"/>
      <c r="G1777" s="284"/>
      <c r="H1777" s="284"/>
      <c r="I1777" s="284"/>
      <c r="J1777" s="284"/>
      <c r="K1777" s="284"/>
      <c r="L1777" s="284"/>
      <c r="M1777" s="284"/>
      <c r="N1777" s="284"/>
      <c r="O1777" s="284"/>
      <c r="P1777" s="284"/>
      <c r="Q1777" s="284"/>
      <c r="R1777" s="284"/>
      <c r="S1777" s="284"/>
      <c r="T1777" s="284"/>
      <c r="U1777" s="284"/>
      <c r="V1777" s="284"/>
      <c r="W1777" s="284"/>
    </row>
    <row r="1778" spans="2:23" x14ac:dyDescent="0.25">
      <c r="B1778" s="386" t="s">
        <v>333</v>
      </c>
      <c r="C1778" s="386"/>
      <c r="D1778" s="386"/>
      <c r="E1778" s="386"/>
      <c r="F1778" s="386"/>
      <c r="G1778" s="286"/>
      <c r="H1778" s="286"/>
      <c r="I1778" s="284"/>
      <c r="J1778" s="284"/>
      <c r="K1778" s="284"/>
      <c r="L1778" s="284"/>
      <c r="M1778" s="284"/>
      <c r="N1778" s="284"/>
      <c r="O1778" s="284"/>
      <c r="P1778" s="284"/>
      <c r="Q1778" s="284"/>
      <c r="R1778" s="284"/>
      <c r="S1778" s="284"/>
      <c r="T1778" s="284"/>
      <c r="U1778" s="284"/>
      <c r="V1778" s="284"/>
      <c r="W1778" s="284"/>
    </row>
    <row r="1779" spans="2:23" x14ac:dyDescent="0.25">
      <c r="B1779" s="386" t="s">
        <v>254</v>
      </c>
      <c r="C1779" s="386"/>
      <c r="D1779" s="386" t="s">
        <v>254</v>
      </c>
      <c r="E1779" s="386"/>
      <c r="F1779" s="192" t="s">
        <v>313</v>
      </c>
      <c r="G1779" s="286" t="s">
        <v>314</v>
      </c>
      <c r="H1779" s="286" t="s">
        <v>316</v>
      </c>
      <c r="I1779" s="284"/>
      <c r="J1779" s="284"/>
      <c r="K1779" s="284"/>
      <c r="L1779" s="284"/>
      <c r="M1779" s="284"/>
      <c r="N1779" s="284"/>
      <c r="O1779" s="284"/>
      <c r="P1779" s="284"/>
      <c r="Q1779" s="284"/>
      <c r="R1779" s="284"/>
      <c r="S1779" s="284"/>
      <c r="T1779" s="284"/>
      <c r="U1779" s="284"/>
      <c r="V1779" s="284"/>
      <c r="W1779" s="284"/>
    </row>
    <row r="1780" spans="2:23" x14ac:dyDescent="0.25">
      <c r="B1780" s="286">
        <v>0</v>
      </c>
      <c r="C1780" s="286">
        <v>10</v>
      </c>
      <c r="D1780" s="286"/>
      <c r="E1780" s="286"/>
      <c r="F1780" s="286">
        <v>0</v>
      </c>
      <c r="G1780" s="284">
        <v>1.5</v>
      </c>
      <c r="H1780" s="286">
        <f>(F1780*G1780+F1781*G1781+F1782*G1782+F1783*G1783+F1784*G1784+F1785*G1785+F1786*G1786)/100</f>
        <v>2.78</v>
      </c>
      <c r="I1780" s="284"/>
      <c r="J1780" s="284"/>
      <c r="K1780" s="284"/>
      <c r="L1780" s="284"/>
      <c r="M1780" s="284"/>
      <c r="N1780" s="284"/>
      <c r="O1780" s="284"/>
      <c r="P1780" s="284"/>
      <c r="Q1780" s="284"/>
      <c r="R1780" s="284"/>
      <c r="S1780" s="284"/>
      <c r="T1780" s="284"/>
      <c r="U1780" s="284"/>
      <c r="V1780" s="284"/>
      <c r="W1780" s="284"/>
    </row>
    <row r="1781" spans="2:23" x14ac:dyDescent="0.25">
      <c r="B1781" s="286">
        <v>11</v>
      </c>
      <c r="C1781" s="286">
        <v>25</v>
      </c>
      <c r="D1781" s="286">
        <v>16</v>
      </c>
      <c r="E1781" s="286">
        <v>25</v>
      </c>
      <c r="F1781" s="286">
        <f t="shared" ref="F1781:F1786" si="186">E1781-D1781+1</f>
        <v>10</v>
      </c>
      <c r="G1781" s="284">
        <v>2</v>
      </c>
      <c r="H1781" s="286"/>
      <c r="I1781" s="284"/>
      <c r="J1781" s="284"/>
      <c r="K1781" s="284"/>
      <c r="L1781" s="284"/>
      <c r="M1781" s="284"/>
      <c r="N1781" s="284"/>
      <c r="O1781" s="284"/>
      <c r="P1781" s="284"/>
      <c r="Q1781" s="284"/>
      <c r="R1781" s="284"/>
      <c r="S1781" s="284"/>
      <c r="T1781" s="284"/>
      <c r="U1781" s="284"/>
      <c r="V1781" s="284"/>
      <c r="W1781" s="284"/>
    </row>
    <row r="1782" spans="2:23" x14ac:dyDescent="0.25">
      <c r="B1782" s="286">
        <v>26</v>
      </c>
      <c r="C1782" s="286">
        <v>55</v>
      </c>
      <c r="D1782" s="286">
        <v>26</v>
      </c>
      <c r="E1782" s="286">
        <v>55</v>
      </c>
      <c r="F1782" s="286">
        <f t="shared" si="186"/>
        <v>30</v>
      </c>
      <c r="G1782" s="284">
        <v>2.5</v>
      </c>
      <c r="H1782" s="286"/>
      <c r="I1782" s="284"/>
      <c r="J1782" s="284"/>
      <c r="K1782" s="284"/>
      <c r="L1782" s="284"/>
      <c r="M1782" s="284"/>
      <c r="N1782" s="284"/>
      <c r="O1782" s="284"/>
      <c r="P1782" s="284"/>
      <c r="Q1782" s="284"/>
      <c r="R1782" s="284"/>
      <c r="S1782" s="284"/>
      <c r="T1782" s="284"/>
      <c r="U1782" s="284"/>
      <c r="V1782" s="284"/>
      <c r="W1782" s="284"/>
    </row>
    <row r="1783" spans="2:23" x14ac:dyDescent="0.25">
      <c r="B1783" s="286">
        <v>56</v>
      </c>
      <c r="C1783" s="286">
        <v>85</v>
      </c>
      <c r="D1783" s="286">
        <v>56</v>
      </c>
      <c r="E1783" s="286">
        <v>85</v>
      </c>
      <c r="F1783" s="286">
        <f t="shared" si="186"/>
        <v>30</v>
      </c>
      <c r="G1783" s="284">
        <v>3</v>
      </c>
      <c r="H1783" s="286"/>
      <c r="I1783" s="284"/>
      <c r="J1783" s="284"/>
      <c r="K1783" s="284"/>
      <c r="L1783" s="284"/>
      <c r="M1783" s="284"/>
      <c r="N1783" s="284"/>
      <c r="O1783" s="284"/>
      <c r="P1783" s="284"/>
      <c r="Q1783" s="284"/>
      <c r="R1783" s="284"/>
      <c r="S1783" s="284"/>
      <c r="T1783" s="284"/>
      <c r="U1783" s="284"/>
      <c r="V1783" s="284"/>
      <c r="W1783" s="284"/>
    </row>
    <row r="1784" spans="2:23" x14ac:dyDescent="0.25">
      <c r="B1784" s="286">
        <v>86</v>
      </c>
      <c r="C1784" s="286">
        <v>100</v>
      </c>
      <c r="D1784" s="286">
        <v>86</v>
      </c>
      <c r="E1784" s="286">
        <v>100</v>
      </c>
      <c r="F1784" s="286">
        <f t="shared" si="186"/>
        <v>15</v>
      </c>
      <c r="G1784" s="284">
        <v>3</v>
      </c>
      <c r="H1784" s="286"/>
      <c r="I1784" s="284"/>
      <c r="J1784" s="284"/>
      <c r="K1784" s="284"/>
      <c r="L1784" s="284"/>
      <c r="M1784" s="284"/>
      <c r="N1784" s="284"/>
      <c r="O1784" s="284"/>
      <c r="P1784" s="284"/>
      <c r="Q1784" s="284"/>
      <c r="R1784" s="284"/>
      <c r="S1784" s="284"/>
      <c r="T1784" s="284"/>
      <c r="U1784" s="284"/>
      <c r="V1784" s="284"/>
      <c r="W1784" s="284"/>
    </row>
    <row r="1785" spans="2:23" x14ac:dyDescent="0.25">
      <c r="B1785" s="286">
        <v>101</v>
      </c>
      <c r="C1785" s="286">
        <v>110</v>
      </c>
      <c r="D1785" s="286">
        <v>101</v>
      </c>
      <c r="E1785" s="286">
        <v>110</v>
      </c>
      <c r="F1785" s="286">
        <f t="shared" si="186"/>
        <v>10</v>
      </c>
      <c r="G1785" s="284">
        <v>3</v>
      </c>
      <c r="H1785" s="286"/>
      <c r="I1785" s="284"/>
      <c r="J1785" s="284"/>
      <c r="K1785" s="284"/>
      <c r="L1785" s="284"/>
      <c r="M1785" s="284"/>
      <c r="N1785" s="284"/>
      <c r="O1785" s="284"/>
      <c r="P1785" s="284"/>
      <c r="Q1785" s="284"/>
      <c r="R1785" s="284"/>
      <c r="S1785" s="284"/>
      <c r="T1785" s="284"/>
      <c r="U1785" s="284"/>
      <c r="V1785" s="284"/>
      <c r="W1785" s="284"/>
    </row>
    <row r="1786" spans="2:23" x14ac:dyDescent="0.25">
      <c r="B1786" s="286">
        <v>111</v>
      </c>
      <c r="C1786" s="286">
        <v>120</v>
      </c>
      <c r="D1786" s="286">
        <v>111</v>
      </c>
      <c r="E1786" s="286">
        <v>116</v>
      </c>
      <c r="F1786" s="286">
        <f t="shared" si="186"/>
        <v>6</v>
      </c>
      <c r="G1786" s="284">
        <v>3</v>
      </c>
      <c r="H1786" s="286"/>
      <c r="I1786" s="284"/>
      <c r="J1786" s="284"/>
      <c r="K1786" s="284"/>
      <c r="L1786" s="284"/>
      <c r="M1786" s="284"/>
      <c r="N1786" s="284"/>
      <c r="O1786" s="284"/>
      <c r="P1786" s="284"/>
      <c r="Q1786" s="284"/>
      <c r="R1786" s="284"/>
      <c r="S1786" s="284"/>
      <c r="T1786" s="284"/>
      <c r="U1786" s="284"/>
      <c r="V1786" s="284"/>
      <c r="W1786" s="284"/>
    </row>
    <row r="1787" spans="2:23" x14ac:dyDescent="0.25">
      <c r="B1787" s="284"/>
      <c r="C1787" s="284"/>
      <c r="D1787" s="284"/>
      <c r="E1787" s="284"/>
      <c r="F1787" s="284"/>
      <c r="G1787" s="284"/>
      <c r="H1787" s="284"/>
      <c r="I1787" s="284"/>
      <c r="J1787" s="284"/>
      <c r="K1787" s="284"/>
      <c r="L1787" s="284"/>
      <c r="M1787" s="284"/>
      <c r="N1787" s="284"/>
      <c r="O1787" s="284"/>
      <c r="P1787" s="284"/>
      <c r="Q1787" s="284"/>
      <c r="R1787" s="284"/>
      <c r="S1787" s="284"/>
      <c r="T1787" s="284"/>
      <c r="U1787" s="284"/>
      <c r="V1787" s="284"/>
      <c r="W1787" s="284"/>
    </row>
    <row r="1788" spans="2:23" x14ac:dyDescent="0.25">
      <c r="B1788" s="386" t="s">
        <v>334</v>
      </c>
      <c r="C1788" s="386"/>
      <c r="D1788" s="386"/>
      <c r="E1788" s="386"/>
      <c r="F1788" s="386"/>
      <c r="G1788" s="286"/>
      <c r="H1788" s="286"/>
      <c r="I1788" s="284"/>
      <c r="J1788" s="284"/>
      <c r="K1788" s="284"/>
      <c r="L1788" s="284"/>
      <c r="M1788" s="284"/>
      <c r="N1788" s="284"/>
      <c r="O1788" s="284"/>
      <c r="P1788" s="284"/>
      <c r="Q1788" s="284"/>
      <c r="R1788" s="284"/>
      <c r="S1788" s="284"/>
      <c r="T1788" s="284"/>
      <c r="U1788" s="284"/>
      <c r="V1788" s="284"/>
      <c r="W1788" s="284"/>
    </row>
    <row r="1789" spans="2:23" x14ac:dyDescent="0.25">
      <c r="B1789" s="386" t="s">
        <v>254</v>
      </c>
      <c r="C1789" s="386"/>
      <c r="D1789" s="386" t="s">
        <v>254</v>
      </c>
      <c r="E1789" s="386"/>
      <c r="F1789" s="192" t="s">
        <v>313</v>
      </c>
      <c r="G1789" s="286" t="s">
        <v>314</v>
      </c>
      <c r="H1789" s="286" t="s">
        <v>316</v>
      </c>
      <c r="I1789" s="284"/>
      <c r="J1789" s="284"/>
      <c r="K1789" s="284"/>
      <c r="L1789" s="284"/>
      <c r="M1789" s="284"/>
      <c r="N1789" s="284"/>
      <c r="O1789" s="284"/>
      <c r="P1789" s="284"/>
      <c r="Q1789" s="284"/>
      <c r="R1789" s="284"/>
      <c r="S1789" s="284"/>
      <c r="T1789" s="284"/>
      <c r="U1789" s="284"/>
      <c r="V1789" s="284"/>
      <c r="W1789" s="284"/>
    </row>
    <row r="1790" spans="2:23" x14ac:dyDescent="0.25">
      <c r="B1790" s="286">
        <v>0</v>
      </c>
      <c r="C1790" s="286">
        <v>10</v>
      </c>
      <c r="D1790" s="286"/>
      <c r="E1790" s="286"/>
      <c r="F1790" s="286">
        <v>0</v>
      </c>
      <c r="G1790" s="284">
        <v>1.5</v>
      </c>
      <c r="H1790" s="286">
        <f>(F1790*G1790+F1791*G1791+F1792*G1792+F1793*G1793+F1794*G1794+F1795*G1795+F1796*G1796)/100</f>
        <v>2.79</v>
      </c>
      <c r="I1790" s="284"/>
      <c r="J1790" s="284"/>
      <c r="K1790" s="284"/>
      <c r="L1790" s="284"/>
      <c r="M1790" s="284"/>
      <c r="N1790" s="284"/>
      <c r="O1790" s="284"/>
      <c r="P1790" s="284"/>
      <c r="Q1790" s="284"/>
      <c r="R1790" s="284"/>
      <c r="S1790" s="284"/>
      <c r="T1790" s="284"/>
      <c r="U1790" s="284"/>
      <c r="V1790" s="284"/>
      <c r="W1790" s="284"/>
    </row>
    <row r="1791" spans="2:23" x14ac:dyDescent="0.25">
      <c r="B1791" s="286">
        <v>11</v>
      </c>
      <c r="C1791" s="286">
        <v>25</v>
      </c>
      <c r="D1791" s="286">
        <v>17</v>
      </c>
      <c r="E1791" s="286">
        <v>25</v>
      </c>
      <c r="F1791" s="286">
        <f t="shared" ref="F1791:F1796" si="187">E1791-D1791+1</f>
        <v>9</v>
      </c>
      <c r="G1791" s="284">
        <v>2</v>
      </c>
      <c r="H1791" s="286"/>
      <c r="I1791" s="284"/>
      <c r="J1791" s="284"/>
      <c r="K1791" s="284"/>
      <c r="L1791" s="284"/>
      <c r="M1791" s="284"/>
      <c r="N1791" s="284"/>
      <c r="O1791" s="284"/>
      <c r="P1791" s="284"/>
      <c r="Q1791" s="284"/>
      <c r="R1791" s="284"/>
      <c r="S1791" s="284"/>
      <c r="T1791" s="284"/>
      <c r="U1791" s="284"/>
      <c r="V1791" s="284"/>
      <c r="W1791" s="284"/>
    </row>
    <row r="1792" spans="2:23" x14ac:dyDescent="0.25">
      <c r="B1792" s="286">
        <v>26</v>
      </c>
      <c r="C1792" s="286">
        <v>55</v>
      </c>
      <c r="D1792" s="286">
        <v>26</v>
      </c>
      <c r="E1792" s="286">
        <v>55</v>
      </c>
      <c r="F1792" s="286">
        <f t="shared" si="187"/>
        <v>30</v>
      </c>
      <c r="G1792" s="284">
        <v>2.5</v>
      </c>
      <c r="H1792" s="286"/>
      <c r="I1792" s="284"/>
      <c r="J1792" s="284"/>
      <c r="K1792" s="284"/>
      <c r="L1792" s="284"/>
      <c r="M1792" s="284"/>
      <c r="N1792" s="284"/>
      <c r="O1792" s="284"/>
      <c r="P1792" s="284"/>
      <c r="Q1792" s="284"/>
      <c r="R1792" s="284"/>
      <c r="S1792" s="284"/>
      <c r="T1792" s="284"/>
      <c r="U1792" s="284"/>
      <c r="V1792" s="284"/>
      <c r="W1792" s="284"/>
    </row>
    <row r="1793" spans="2:23" x14ac:dyDescent="0.25">
      <c r="B1793" s="286">
        <v>56</v>
      </c>
      <c r="C1793" s="286">
        <v>85</v>
      </c>
      <c r="D1793" s="286">
        <v>56</v>
      </c>
      <c r="E1793" s="286">
        <v>85</v>
      </c>
      <c r="F1793" s="286">
        <f t="shared" si="187"/>
        <v>30</v>
      </c>
      <c r="G1793" s="284">
        <v>3</v>
      </c>
      <c r="H1793" s="286"/>
      <c r="I1793" s="284"/>
      <c r="J1793" s="284"/>
      <c r="K1793" s="284"/>
      <c r="L1793" s="284"/>
      <c r="M1793" s="284"/>
      <c r="N1793" s="284"/>
      <c r="O1793" s="284"/>
      <c r="P1793" s="284"/>
      <c r="Q1793" s="284"/>
      <c r="R1793" s="284"/>
      <c r="S1793" s="284"/>
      <c r="T1793" s="284"/>
      <c r="U1793" s="284"/>
      <c r="V1793" s="284"/>
      <c r="W1793" s="284"/>
    </row>
    <row r="1794" spans="2:23" x14ac:dyDescent="0.25">
      <c r="B1794" s="286">
        <v>86</v>
      </c>
      <c r="C1794" s="286">
        <v>100</v>
      </c>
      <c r="D1794" s="286">
        <v>86</v>
      </c>
      <c r="E1794" s="286">
        <v>100</v>
      </c>
      <c r="F1794" s="286">
        <f t="shared" si="187"/>
        <v>15</v>
      </c>
      <c r="G1794" s="284">
        <v>3</v>
      </c>
      <c r="H1794" s="286"/>
      <c r="I1794" s="284"/>
      <c r="J1794" s="284"/>
      <c r="K1794" s="284"/>
      <c r="L1794" s="284"/>
      <c r="M1794" s="284"/>
      <c r="N1794" s="284"/>
      <c r="O1794" s="284"/>
      <c r="P1794" s="284"/>
      <c r="Q1794" s="284"/>
      <c r="R1794" s="284"/>
      <c r="S1794" s="284"/>
      <c r="T1794" s="284"/>
      <c r="U1794" s="284"/>
      <c r="V1794" s="284"/>
      <c r="W1794" s="284"/>
    </row>
    <row r="1795" spans="2:23" x14ac:dyDescent="0.25">
      <c r="B1795" s="286">
        <v>101</v>
      </c>
      <c r="C1795" s="286">
        <v>110</v>
      </c>
      <c r="D1795" s="286">
        <v>101</v>
      </c>
      <c r="E1795" s="286">
        <v>110</v>
      </c>
      <c r="F1795" s="286">
        <f t="shared" si="187"/>
        <v>10</v>
      </c>
      <c r="G1795" s="284">
        <v>3</v>
      </c>
      <c r="H1795" s="286"/>
      <c r="I1795" s="284"/>
      <c r="J1795" s="284"/>
      <c r="K1795" s="284"/>
      <c r="L1795" s="284"/>
      <c r="M1795" s="284"/>
      <c r="N1795" s="284"/>
      <c r="O1795" s="284"/>
      <c r="P1795" s="284"/>
      <c r="Q1795" s="284"/>
      <c r="R1795" s="284"/>
      <c r="S1795" s="284"/>
      <c r="T1795" s="284"/>
      <c r="U1795" s="284"/>
      <c r="V1795" s="284"/>
      <c r="W1795" s="284"/>
    </row>
    <row r="1796" spans="2:23" x14ac:dyDescent="0.25">
      <c r="B1796" s="286">
        <v>111</v>
      </c>
      <c r="C1796" s="286">
        <v>120</v>
      </c>
      <c r="D1796" s="286">
        <v>111</v>
      </c>
      <c r="E1796" s="286">
        <v>117</v>
      </c>
      <c r="F1796" s="286">
        <f t="shared" si="187"/>
        <v>7</v>
      </c>
      <c r="G1796" s="284">
        <v>3</v>
      </c>
      <c r="H1796" s="286"/>
      <c r="I1796" s="284"/>
      <c r="J1796" s="284"/>
      <c r="K1796" s="284"/>
      <c r="L1796" s="284"/>
      <c r="M1796" s="284"/>
      <c r="N1796" s="284"/>
      <c r="O1796" s="284"/>
      <c r="P1796" s="284"/>
      <c r="Q1796" s="284"/>
      <c r="R1796" s="284"/>
      <c r="S1796" s="284"/>
      <c r="T1796" s="284"/>
      <c r="U1796" s="284"/>
      <c r="V1796" s="284"/>
      <c r="W1796" s="284"/>
    </row>
    <row r="1797" spans="2:23" x14ac:dyDescent="0.25">
      <c r="B1797" s="284"/>
      <c r="C1797" s="284"/>
      <c r="D1797" s="284"/>
      <c r="E1797" s="284"/>
      <c r="F1797" s="284"/>
      <c r="G1797" s="284"/>
      <c r="H1797" s="284"/>
      <c r="I1797" s="284"/>
      <c r="J1797" s="284"/>
      <c r="K1797" s="284"/>
      <c r="L1797" s="284"/>
      <c r="M1797" s="284"/>
      <c r="N1797" s="284"/>
      <c r="O1797" s="284"/>
      <c r="P1797" s="284"/>
      <c r="Q1797" s="284"/>
      <c r="R1797" s="284"/>
      <c r="S1797" s="284"/>
      <c r="T1797" s="284"/>
      <c r="U1797" s="284"/>
      <c r="V1797" s="284"/>
      <c r="W1797" s="284"/>
    </row>
    <row r="1798" spans="2:23" x14ac:dyDescent="0.25">
      <c r="B1798" s="386" t="s">
        <v>335</v>
      </c>
      <c r="C1798" s="386"/>
      <c r="D1798" s="386"/>
      <c r="E1798" s="386"/>
      <c r="F1798" s="386"/>
      <c r="G1798" s="286"/>
      <c r="H1798" s="286"/>
      <c r="I1798" s="284"/>
      <c r="J1798" s="284"/>
      <c r="K1798" s="284"/>
      <c r="L1798" s="284"/>
      <c r="M1798" s="284"/>
      <c r="N1798" s="284"/>
      <c r="O1798" s="284"/>
      <c r="P1798" s="284"/>
      <c r="Q1798" s="284"/>
      <c r="R1798" s="284"/>
      <c r="S1798" s="284"/>
      <c r="T1798" s="284"/>
      <c r="U1798" s="284"/>
      <c r="V1798" s="284"/>
      <c r="W1798" s="284"/>
    </row>
    <row r="1799" spans="2:23" x14ac:dyDescent="0.25">
      <c r="B1799" s="386" t="s">
        <v>254</v>
      </c>
      <c r="C1799" s="386"/>
      <c r="D1799" s="386" t="s">
        <v>254</v>
      </c>
      <c r="E1799" s="386"/>
      <c r="F1799" s="192" t="s">
        <v>313</v>
      </c>
      <c r="G1799" s="286" t="s">
        <v>314</v>
      </c>
      <c r="H1799" s="286" t="s">
        <v>316</v>
      </c>
      <c r="I1799" s="284"/>
      <c r="J1799" s="284"/>
      <c r="K1799" s="284"/>
      <c r="L1799" s="284"/>
      <c r="M1799" s="284"/>
      <c r="N1799" s="284"/>
      <c r="O1799" s="284"/>
      <c r="P1799" s="284"/>
      <c r="Q1799" s="284"/>
      <c r="R1799" s="284"/>
      <c r="S1799" s="284"/>
      <c r="T1799" s="284"/>
      <c r="U1799" s="284"/>
      <c r="V1799" s="284"/>
      <c r="W1799" s="284"/>
    </row>
    <row r="1800" spans="2:23" x14ac:dyDescent="0.25">
      <c r="B1800" s="286">
        <v>0</v>
      </c>
      <c r="C1800" s="286">
        <v>10</v>
      </c>
      <c r="D1800" s="286"/>
      <c r="E1800" s="286"/>
      <c r="F1800" s="286">
        <v>0</v>
      </c>
      <c r="G1800" s="284">
        <v>1.5</v>
      </c>
      <c r="H1800" s="286">
        <f>(F1800*G1800+F1801*G1801+F1802*G1802+F1803*G1803+F1804*G1804+F1805*G1805+F1806*G1806)/100</f>
        <v>2.8</v>
      </c>
      <c r="I1800" s="284"/>
      <c r="J1800" s="284"/>
      <c r="K1800" s="284"/>
      <c r="L1800" s="284"/>
      <c r="M1800" s="284"/>
      <c r="N1800" s="284"/>
      <c r="O1800" s="284"/>
      <c r="P1800" s="284"/>
      <c r="Q1800" s="284"/>
      <c r="R1800" s="284"/>
      <c r="S1800" s="284"/>
      <c r="T1800" s="284"/>
      <c r="U1800" s="284"/>
      <c r="V1800" s="284"/>
      <c r="W1800" s="284"/>
    </row>
    <row r="1801" spans="2:23" x14ac:dyDescent="0.25">
      <c r="B1801" s="286">
        <v>11</v>
      </c>
      <c r="C1801" s="286">
        <v>25</v>
      </c>
      <c r="D1801" s="286">
        <v>18</v>
      </c>
      <c r="E1801" s="286">
        <v>25</v>
      </c>
      <c r="F1801" s="286">
        <f t="shared" ref="F1801:F1806" si="188">E1801-D1801+1</f>
        <v>8</v>
      </c>
      <c r="G1801" s="284">
        <v>2</v>
      </c>
      <c r="H1801" s="286"/>
      <c r="I1801" s="284"/>
      <c r="J1801" s="284"/>
      <c r="K1801" s="284"/>
      <c r="L1801" s="284"/>
      <c r="M1801" s="284"/>
      <c r="N1801" s="284"/>
      <c r="O1801" s="284"/>
      <c r="P1801" s="284"/>
      <c r="Q1801" s="284"/>
      <c r="R1801" s="284"/>
      <c r="S1801" s="284"/>
      <c r="T1801" s="284"/>
      <c r="U1801" s="284"/>
      <c r="V1801" s="284"/>
      <c r="W1801" s="284"/>
    </row>
    <row r="1802" spans="2:23" x14ac:dyDescent="0.25">
      <c r="B1802" s="286">
        <v>26</v>
      </c>
      <c r="C1802" s="286">
        <v>55</v>
      </c>
      <c r="D1802" s="286">
        <v>26</v>
      </c>
      <c r="E1802" s="286">
        <v>55</v>
      </c>
      <c r="F1802" s="286">
        <f t="shared" si="188"/>
        <v>30</v>
      </c>
      <c r="G1802" s="284">
        <v>2.5</v>
      </c>
      <c r="H1802" s="286"/>
      <c r="I1802" s="284"/>
      <c r="J1802" s="284"/>
      <c r="K1802" s="284"/>
      <c r="L1802" s="284"/>
      <c r="M1802" s="284"/>
      <c r="N1802" s="284"/>
      <c r="O1802" s="284"/>
      <c r="P1802" s="284"/>
      <c r="Q1802" s="284"/>
      <c r="R1802" s="284"/>
      <c r="S1802" s="284"/>
      <c r="T1802" s="284"/>
      <c r="U1802" s="284"/>
      <c r="V1802" s="284"/>
      <c r="W1802" s="284"/>
    </row>
    <row r="1803" spans="2:23" x14ac:dyDescent="0.25">
      <c r="B1803" s="286">
        <v>56</v>
      </c>
      <c r="C1803" s="286">
        <v>85</v>
      </c>
      <c r="D1803" s="286">
        <v>56</v>
      </c>
      <c r="E1803" s="286">
        <v>85</v>
      </c>
      <c r="F1803" s="286">
        <f t="shared" si="188"/>
        <v>30</v>
      </c>
      <c r="G1803" s="284">
        <v>3</v>
      </c>
      <c r="H1803" s="286"/>
      <c r="I1803" s="284"/>
      <c r="J1803" s="284"/>
      <c r="K1803" s="284"/>
      <c r="L1803" s="284"/>
      <c r="M1803" s="284"/>
      <c r="N1803" s="284"/>
      <c r="O1803" s="284"/>
      <c r="P1803" s="284"/>
      <c r="Q1803" s="284"/>
      <c r="R1803" s="284"/>
      <c r="S1803" s="284"/>
      <c r="T1803" s="284"/>
      <c r="U1803" s="284"/>
      <c r="V1803" s="284"/>
      <c r="W1803" s="284"/>
    </row>
    <row r="1804" spans="2:23" x14ac:dyDescent="0.25">
      <c r="B1804" s="286">
        <v>86</v>
      </c>
      <c r="C1804" s="286">
        <v>100</v>
      </c>
      <c r="D1804" s="286">
        <v>86</v>
      </c>
      <c r="E1804" s="286">
        <v>100</v>
      </c>
      <c r="F1804" s="286">
        <f t="shared" si="188"/>
        <v>15</v>
      </c>
      <c r="G1804" s="284">
        <v>3</v>
      </c>
      <c r="H1804" s="286"/>
      <c r="I1804" s="284"/>
      <c r="J1804" s="284"/>
      <c r="K1804" s="284"/>
      <c r="L1804" s="284"/>
      <c r="M1804" s="284"/>
      <c r="N1804" s="284"/>
      <c r="O1804" s="284"/>
      <c r="P1804" s="284"/>
      <c r="Q1804" s="284"/>
      <c r="R1804" s="284"/>
      <c r="S1804" s="284"/>
      <c r="T1804" s="284"/>
      <c r="U1804" s="284"/>
      <c r="V1804" s="284"/>
      <c r="W1804" s="284"/>
    </row>
    <row r="1805" spans="2:23" x14ac:dyDescent="0.25">
      <c r="B1805" s="286">
        <v>101</v>
      </c>
      <c r="C1805" s="286">
        <v>110</v>
      </c>
      <c r="D1805" s="286">
        <v>101</v>
      </c>
      <c r="E1805" s="286">
        <v>110</v>
      </c>
      <c r="F1805" s="286">
        <f t="shared" si="188"/>
        <v>10</v>
      </c>
      <c r="G1805" s="284">
        <v>3</v>
      </c>
      <c r="H1805" s="286"/>
      <c r="I1805" s="284"/>
      <c r="J1805" s="284"/>
      <c r="K1805" s="284"/>
      <c r="L1805" s="284"/>
      <c r="M1805" s="284"/>
      <c r="N1805" s="284"/>
      <c r="O1805" s="284"/>
      <c r="P1805" s="284"/>
      <c r="Q1805" s="284"/>
      <c r="R1805" s="284"/>
      <c r="S1805" s="284"/>
      <c r="T1805" s="284"/>
      <c r="U1805" s="284"/>
      <c r="V1805" s="284"/>
      <c r="W1805" s="284"/>
    </row>
    <row r="1806" spans="2:23" x14ac:dyDescent="0.25">
      <c r="B1806" s="286">
        <v>111</v>
      </c>
      <c r="C1806" s="286">
        <v>120</v>
      </c>
      <c r="D1806" s="286">
        <v>111</v>
      </c>
      <c r="E1806" s="286">
        <v>118</v>
      </c>
      <c r="F1806" s="286">
        <f t="shared" si="188"/>
        <v>8</v>
      </c>
      <c r="G1806" s="284">
        <v>3</v>
      </c>
      <c r="H1806" s="286"/>
      <c r="I1806" s="284"/>
      <c r="J1806" s="284"/>
      <c r="K1806" s="284"/>
      <c r="L1806" s="284"/>
      <c r="M1806" s="284"/>
      <c r="N1806" s="284"/>
      <c r="O1806" s="284"/>
      <c r="P1806" s="284"/>
      <c r="Q1806" s="284"/>
      <c r="R1806" s="284"/>
      <c r="S1806" s="284"/>
      <c r="T1806" s="284"/>
      <c r="U1806" s="284"/>
      <c r="V1806" s="284"/>
      <c r="W1806" s="284"/>
    </row>
    <row r="1807" spans="2:23" x14ac:dyDescent="0.25">
      <c r="B1807" s="284"/>
      <c r="C1807" s="284"/>
      <c r="D1807" s="284"/>
      <c r="E1807" s="284"/>
      <c r="F1807" s="284"/>
      <c r="G1807" s="284"/>
      <c r="H1807" s="284"/>
      <c r="I1807" s="284"/>
      <c r="J1807" s="284"/>
      <c r="K1807" s="284"/>
      <c r="L1807" s="284"/>
      <c r="M1807" s="284"/>
      <c r="N1807" s="284"/>
      <c r="O1807" s="284"/>
      <c r="P1807" s="284"/>
      <c r="Q1807" s="284"/>
      <c r="R1807" s="284"/>
      <c r="S1807" s="284"/>
      <c r="T1807" s="284"/>
      <c r="U1807" s="284"/>
      <c r="V1807" s="284"/>
      <c r="W1807" s="284"/>
    </row>
    <row r="1808" spans="2:23" x14ac:dyDescent="0.25">
      <c r="B1808" s="386" t="s">
        <v>336</v>
      </c>
      <c r="C1808" s="386"/>
      <c r="D1808" s="386"/>
      <c r="E1808" s="386"/>
      <c r="F1808" s="386"/>
      <c r="G1808" s="286"/>
      <c r="H1808" s="286"/>
      <c r="I1808" s="284"/>
      <c r="J1808" s="284"/>
      <c r="K1808" s="284"/>
      <c r="L1808" s="284"/>
      <c r="M1808" s="284"/>
      <c r="N1808" s="284"/>
      <c r="O1808" s="284"/>
      <c r="P1808" s="284"/>
      <c r="Q1808" s="284"/>
      <c r="R1808" s="284"/>
      <c r="S1808" s="284"/>
      <c r="T1808" s="284"/>
      <c r="U1808" s="284"/>
      <c r="V1808" s="284"/>
      <c r="W1808" s="284"/>
    </row>
    <row r="1809" spans="2:23" x14ac:dyDescent="0.25">
      <c r="B1809" s="386" t="s">
        <v>254</v>
      </c>
      <c r="C1809" s="386"/>
      <c r="D1809" s="386" t="s">
        <v>254</v>
      </c>
      <c r="E1809" s="386"/>
      <c r="F1809" s="192" t="s">
        <v>313</v>
      </c>
      <c r="G1809" s="286" t="s">
        <v>314</v>
      </c>
      <c r="H1809" s="286" t="s">
        <v>316</v>
      </c>
      <c r="I1809" s="284"/>
      <c r="J1809" s="284"/>
      <c r="K1809" s="284"/>
      <c r="L1809" s="284"/>
      <c r="M1809" s="284"/>
      <c r="N1809" s="284"/>
      <c r="O1809" s="284"/>
      <c r="P1809" s="284"/>
      <c r="Q1809" s="284"/>
      <c r="R1809" s="284"/>
      <c r="S1809" s="284"/>
      <c r="T1809" s="284"/>
      <c r="U1809" s="284"/>
      <c r="V1809" s="284"/>
      <c r="W1809" s="284"/>
    </row>
    <row r="1810" spans="2:23" x14ac:dyDescent="0.25">
      <c r="B1810" s="286">
        <v>0</v>
      </c>
      <c r="C1810" s="286">
        <v>10</v>
      </c>
      <c r="D1810" s="286"/>
      <c r="E1810" s="286"/>
      <c r="F1810" s="286">
        <v>0</v>
      </c>
      <c r="G1810" s="284">
        <v>1.5</v>
      </c>
      <c r="H1810" s="286">
        <f>(F1810*G1810+F1811*G1811+F1812*G1812+F1813*G1813+F1814*G1814+F1815*G1815+F1816*G1816)/100</f>
        <v>2.81</v>
      </c>
      <c r="I1810" s="284"/>
      <c r="J1810" s="284"/>
      <c r="K1810" s="284"/>
      <c r="L1810" s="284"/>
      <c r="M1810" s="284"/>
      <c r="N1810" s="284"/>
      <c r="O1810" s="284"/>
      <c r="P1810" s="284"/>
      <c r="Q1810" s="284"/>
      <c r="R1810" s="284"/>
      <c r="S1810" s="284"/>
      <c r="T1810" s="284"/>
      <c r="U1810" s="284"/>
      <c r="V1810" s="284"/>
      <c r="W1810" s="284"/>
    </row>
    <row r="1811" spans="2:23" x14ac:dyDescent="0.25">
      <c r="B1811" s="286">
        <v>11</v>
      </c>
      <c r="C1811" s="286">
        <v>25</v>
      </c>
      <c r="D1811" s="286">
        <v>19</v>
      </c>
      <c r="E1811" s="286">
        <v>25</v>
      </c>
      <c r="F1811" s="286">
        <f t="shared" ref="F1811:F1816" si="189">E1811-D1811+1</f>
        <v>7</v>
      </c>
      <c r="G1811" s="284">
        <v>2</v>
      </c>
      <c r="H1811" s="286"/>
      <c r="I1811" s="284"/>
      <c r="J1811" s="284"/>
      <c r="K1811" s="284"/>
      <c r="L1811" s="284"/>
      <c r="M1811" s="284"/>
      <c r="N1811" s="284"/>
      <c r="O1811" s="284"/>
      <c r="P1811" s="284"/>
      <c r="Q1811" s="284"/>
      <c r="R1811" s="284"/>
      <c r="S1811" s="284"/>
      <c r="T1811" s="284"/>
      <c r="U1811" s="284"/>
      <c r="V1811" s="284"/>
      <c r="W1811" s="284"/>
    </row>
    <row r="1812" spans="2:23" x14ac:dyDescent="0.25">
      <c r="B1812" s="286">
        <v>26</v>
      </c>
      <c r="C1812" s="286">
        <v>55</v>
      </c>
      <c r="D1812" s="286">
        <v>26</v>
      </c>
      <c r="E1812" s="286">
        <v>55</v>
      </c>
      <c r="F1812" s="286">
        <f t="shared" si="189"/>
        <v>30</v>
      </c>
      <c r="G1812" s="284">
        <v>2.5</v>
      </c>
      <c r="H1812" s="286"/>
      <c r="I1812" s="284"/>
      <c r="J1812" s="284"/>
      <c r="K1812" s="284"/>
      <c r="L1812" s="284"/>
      <c r="M1812" s="284"/>
      <c r="N1812" s="284"/>
      <c r="O1812" s="284"/>
      <c r="P1812" s="284"/>
      <c r="Q1812" s="284"/>
      <c r="R1812" s="284"/>
      <c r="S1812" s="284"/>
      <c r="T1812" s="284"/>
      <c r="U1812" s="284"/>
      <c r="V1812" s="284"/>
      <c r="W1812" s="284"/>
    </row>
    <row r="1813" spans="2:23" x14ac:dyDescent="0.25">
      <c r="B1813" s="286">
        <v>56</v>
      </c>
      <c r="C1813" s="286">
        <v>85</v>
      </c>
      <c r="D1813" s="286">
        <v>56</v>
      </c>
      <c r="E1813" s="286">
        <v>85</v>
      </c>
      <c r="F1813" s="286">
        <f t="shared" si="189"/>
        <v>30</v>
      </c>
      <c r="G1813" s="284">
        <v>3</v>
      </c>
      <c r="H1813" s="286"/>
      <c r="I1813" s="284"/>
      <c r="J1813" s="284"/>
      <c r="K1813" s="284"/>
      <c r="L1813" s="284"/>
      <c r="M1813" s="284"/>
      <c r="N1813" s="284"/>
      <c r="O1813" s="284"/>
      <c r="P1813" s="284"/>
      <c r="Q1813" s="284"/>
      <c r="R1813" s="284"/>
      <c r="S1813" s="284"/>
      <c r="T1813" s="284"/>
      <c r="U1813" s="284"/>
      <c r="V1813" s="284"/>
      <c r="W1813" s="284"/>
    </row>
    <row r="1814" spans="2:23" x14ac:dyDescent="0.25">
      <c r="B1814" s="286">
        <v>86</v>
      </c>
      <c r="C1814" s="286">
        <v>100</v>
      </c>
      <c r="D1814" s="286">
        <v>86</v>
      </c>
      <c r="E1814" s="286">
        <v>100</v>
      </c>
      <c r="F1814" s="286">
        <f t="shared" si="189"/>
        <v>15</v>
      </c>
      <c r="G1814" s="284">
        <v>3</v>
      </c>
      <c r="H1814" s="286"/>
      <c r="I1814" s="284"/>
      <c r="J1814" s="284"/>
      <c r="K1814" s="284"/>
      <c r="L1814" s="284"/>
      <c r="M1814" s="284"/>
      <c r="N1814" s="284"/>
      <c r="O1814" s="284"/>
      <c r="P1814" s="284"/>
      <c r="Q1814" s="284"/>
      <c r="R1814" s="284"/>
      <c r="S1814" s="284"/>
      <c r="T1814" s="284"/>
      <c r="U1814" s="284"/>
      <c r="V1814" s="284"/>
      <c r="W1814" s="284"/>
    </row>
    <row r="1815" spans="2:23" x14ac:dyDescent="0.25">
      <c r="B1815" s="286">
        <v>101</v>
      </c>
      <c r="C1815" s="286">
        <v>110</v>
      </c>
      <c r="D1815" s="286">
        <v>101</v>
      </c>
      <c r="E1815" s="286">
        <v>110</v>
      </c>
      <c r="F1815" s="286">
        <f t="shared" si="189"/>
        <v>10</v>
      </c>
      <c r="G1815" s="284">
        <v>3</v>
      </c>
      <c r="H1815" s="286"/>
      <c r="I1815" s="284"/>
      <c r="J1815" s="284"/>
      <c r="K1815" s="284"/>
      <c r="L1815" s="284"/>
      <c r="M1815" s="284"/>
      <c r="N1815" s="284"/>
      <c r="O1815" s="284"/>
      <c r="P1815" s="284"/>
      <c r="Q1815" s="284"/>
      <c r="R1815" s="284"/>
      <c r="S1815" s="284"/>
      <c r="T1815" s="284"/>
      <c r="U1815" s="284"/>
      <c r="V1815" s="284"/>
      <c r="W1815" s="284"/>
    </row>
    <row r="1816" spans="2:23" x14ac:dyDescent="0.25">
      <c r="B1816" s="286">
        <v>111</v>
      </c>
      <c r="C1816" s="286">
        <v>120</v>
      </c>
      <c r="D1816" s="286">
        <v>111</v>
      </c>
      <c r="E1816" s="286">
        <v>119</v>
      </c>
      <c r="F1816" s="286">
        <f t="shared" si="189"/>
        <v>9</v>
      </c>
      <c r="G1816" s="284">
        <v>3</v>
      </c>
      <c r="H1816" s="286"/>
      <c r="I1816" s="284"/>
      <c r="J1816" s="284"/>
      <c r="K1816" s="284"/>
      <c r="L1816" s="284"/>
      <c r="M1816" s="284"/>
      <c r="N1816" s="284"/>
      <c r="O1816" s="284"/>
      <c r="P1816" s="284"/>
      <c r="Q1816" s="284"/>
      <c r="R1816" s="284"/>
      <c r="S1816" s="284"/>
      <c r="T1816" s="284"/>
      <c r="U1816" s="284"/>
      <c r="V1816" s="284"/>
      <c r="W1816" s="284"/>
    </row>
    <row r="1817" spans="2:23" x14ac:dyDescent="0.25">
      <c r="B1817" s="284"/>
      <c r="C1817" s="284"/>
      <c r="D1817" s="284"/>
      <c r="E1817" s="284"/>
      <c r="F1817" s="284"/>
      <c r="G1817" s="284"/>
      <c r="H1817" s="284"/>
      <c r="I1817" s="284"/>
      <c r="J1817" s="284"/>
      <c r="K1817" s="284"/>
      <c r="L1817" s="284"/>
      <c r="M1817" s="284"/>
      <c r="N1817" s="284"/>
      <c r="O1817" s="284"/>
      <c r="P1817" s="284"/>
      <c r="Q1817" s="284"/>
      <c r="R1817" s="284"/>
      <c r="S1817" s="284"/>
      <c r="T1817" s="284"/>
      <c r="U1817" s="284"/>
      <c r="V1817" s="284"/>
      <c r="W1817" s="284"/>
    </row>
    <row r="1818" spans="2:23" x14ac:dyDescent="0.25">
      <c r="B1818" s="386" t="s">
        <v>319</v>
      </c>
      <c r="C1818" s="386"/>
      <c r="D1818" s="386"/>
      <c r="E1818" s="386"/>
      <c r="F1818" s="386"/>
      <c r="G1818" s="286"/>
      <c r="H1818" s="286"/>
      <c r="I1818" s="284"/>
      <c r="J1818" s="284"/>
      <c r="K1818" s="284"/>
      <c r="L1818" s="284"/>
      <c r="M1818" s="284"/>
      <c r="N1818" s="284"/>
      <c r="O1818" s="284"/>
      <c r="P1818" s="284"/>
      <c r="Q1818" s="284"/>
      <c r="R1818" s="284"/>
      <c r="S1818" s="284"/>
      <c r="T1818" s="284"/>
      <c r="U1818" s="284"/>
      <c r="V1818" s="284"/>
      <c r="W1818" s="284"/>
    </row>
    <row r="1819" spans="2:23" x14ac:dyDescent="0.25">
      <c r="B1819" s="386" t="s">
        <v>254</v>
      </c>
      <c r="C1819" s="386"/>
      <c r="D1819" s="386" t="s">
        <v>254</v>
      </c>
      <c r="E1819" s="386"/>
      <c r="F1819" s="192" t="s">
        <v>313</v>
      </c>
      <c r="G1819" s="286" t="s">
        <v>314</v>
      </c>
      <c r="H1819" s="286" t="s">
        <v>316</v>
      </c>
      <c r="I1819" s="284"/>
      <c r="J1819" s="284"/>
      <c r="K1819" s="284"/>
      <c r="L1819" s="284"/>
      <c r="M1819" s="284"/>
      <c r="N1819" s="284"/>
      <c r="O1819" s="284"/>
      <c r="P1819" s="284"/>
      <c r="Q1819" s="284"/>
      <c r="R1819" s="284"/>
      <c r="S1819" s="284"/>
      <c r="T1819" s="284"/>
      <c r="U1819" s="284"/>
      <c r="V1819" s="284"/>
      <c r="W1819" s="284"/>
    </row>
    <row r="1820" spans="2:23" x14ac:dyDescent="0.25">
      <c r="B1820" s="286">
        <v>0</v>
      </c>
      <c r="C1820" s="286">
        <v>10</v>
      </c>
      <c r="D1820" s="286"/>
      <c r="E1820" s="286"/>
      <c r="F1820" s="286">
        <v>0</v>
      </c>
      <c r="G1820" s="284">
        <v>1.5</v>
      </c>
      <c r="H1820" s="286">
        <f>(F1820*G1820+F1821*G1821+F1822*G1822+F1823*G1823+F1824*G1824+F1825*G1825+F1826*G1826)/100</f>
        <v>2.82</v>
      </c>
      <c r="I1820" s="284"/>
      <c r="J1820" s="284"/>
      <c r="K1820" s="284"/>
      <c r="L1820" s="284"/>
      <c r="M1820" s="284"/>
      <c r="N1820" s="284"/>
      <c r="O1820" s="284"/>
      <c r="P1820" s="284"/>
      <c r="Q1820" s="284"/>
      <c r="R1820" s="284"/>
      <c r="S1820" s="284"/>
      <c r="T1820" s="284"/>
      <c r="U1820" s="284"/>
      <c r="V1820" s="284"/>
      <c r="W1820" s="284"/>
    </row>
    <row r="1821" spans="2:23" x14ac:dyDescent="0.25">
      <c r="B1821" s="286">
        <v>11</v>
      </c>
      <c r="C1821" s="286">
        <v>25</v>
      </c>
      <c r="D1821" s="286">
        <v>20</v>
      </c>
      <c r="E1821" s="286">
        <v>25</v>
      </c>
      <c r="F1821" s="286">
        <f t="shared" ref="F1821:F1826" si="190">E1821-D1821+1</f>
        <v>6</v>
      </c>
      <c r="G1821" s="284">
        <v>2</v>
      </c>
      <c r="H1821" s="286"/>
      <c r="I1821" s="284"/>
      <c r="J1821" s="284"/>
      <c r="K1821" s="284"/>
      <c r="L1821" s="284"/>
      <c r="M1821" s="284"/>
      <c r="N1821" s="284"/>
      <c r="O1821" s="284"/>
      <c r="P1821" s="284"/>
      <c r="Q1821" s="284"/>
      <c r="R1821" s="284"/>
      <c r="S1821" s="284"/>
      <c r="T1821" s="284"/>
      <c r="U1821" s="284"/>
      <c r="V1821" s="284"/>
      <c r="W1821" s="284"/>
    </row>
    <row r="1822" spans="2:23" x14ac:dyDescent="0.25">
      <c r="B1822" s="286">
        <v>26</v>
      </c>
      <c r="C1822" s="286">
        <v>55</v>
      </c>
      <c r="D1822" s="286">
        <v>26</v>
      </c>
      <c r="E1822" s="286">
        <v>55</v>
      </c>
      <c r="F1822" s="286">
        <f t="shared" si="190"/>
        <v>30</v>
      </c>
      <c r="G1822" s="284">
        <v>2.5</v>
      </c>
      <c r="H1822" s="286"/>
      <c r="I1822" s="284"/>
      <c r="J1822" s="284"/>
      <c r="K1822" s="284"/>
      <c r="L1822" s="284"/>
      <c r="M1822" s="284"/>
      <c r="N1822" s="284"/>
      <c r="O1822" s="284"/>
      <c r="P1822" s="284"/>
      <c r="Q1822" s="284"/>
      <c r="R1822" s="284"/>
      <c r="S1822" s="284"/>
      <c r="T1822" s="284"/>
      <c r="U1822" s="284"/>
      <c r="V1822" s="284"/>
      <c r="W1822" s="284"/>
    </row>
    <row r="1823" spans="2:23" x14ac:dyDescent="0.25">
      <c r="B1823" s="286">
        <v>56</v>
      </c>
      <c r="C1823" s="286">
        <v>85</v>
      </c>
      <c r="D1823" s="286">
        <v>56</v>
      </c>
      <c r="E1823" s="286">
        <v>85</v>
      </c>
      <c r="F1823" s="286">
        <f t="shared" si="190"/>
        <v>30</v>
      </c>
      <c r="G1823" s="284">
        <v>3</v>
      </c>
      <c r="H1823" s="286"/>
      <c r="I1823" s="284"/>
      <c r="J1823" s="284"/>
      <c r="K1823" s="284"/>
      <c r="L1823" s="284"/>
      <c r="M1823" s="284"/>
      <c r="N1823" s="284"/>
      <c r="O1823" s="284"/>
      <c r="P1823" s="284"/>
      <c r="Q1823" s="284"/>
      <c r="R1823" s="284"/>
      <c r="S1823" s="284"/>
      <c r="T1823" s="284"/>
      <c r="U1823" s="284"/>
      <c r="V1823" s="284"/>
      <c r="W1823" s="284"/>
    </row>
    <row r="1824" spans="2:23" x14ac:dyDescent="0.25">
      <c r="B1824" s="286">
        <v>86</v>
      </c>
      <c r="C1824" s="286">
        <v>100</v>
      </c>
      <c r="D1824" s="286">
        <v>86</v>
      </c>
      <c r="E1824" s="286">
        <v>100</v>
      </c>
      <c r="F1824" s="286">
        <f t="shared" si="190"/>
        <v>15</v>
      </c>
      <c r="G1824" s="284">
        <v>3</v>
      </c>
      <c r="H1824" s="286"/>
      <c r="I1824" s="284"/>
      <c r="J1824" s="284"/>
      <c r="K1824" s="284"/>
      <c r="L1824" s="284"/>
      <c r="M1824" s="284"/>
      <c r="N1824" s="284"/>
      <c r="O1824" s="284"/>
      <c r="P1824" s="284"/>
      <c r="Q1824" s="284"/>
      <c r="R1824" s="284"/>
      <c r="S1824" s="284"/>
      <c r="T1824" s="284"/>
      <c r="U1824" s="284"/>
      <c r="V1824" s="284"/>
      <c r="W1824" s="284"/>
    </row>
    <row r="1825" spans="2:23" x14ac:dyDescent="0.25">
      <c r="B1825" s="286">
        <v>101</v>
      </c>
      <c r="C1825" s="286">
        <v>110</v>
      </c>
      <c r="D1825" s="286">
        <v>101</v>
      </c>
      <c r="E1825" s="286">
        <v>110</v>
      </c>
      <c r="F1825" s="286">
        <f t="shared" si="190"/>
        <v>10</v>
      </c>
      <c r="G1825" s="284">
        <v>3</v>
      </c>
      <c r="H1825" s="286"/>
      <c r="I1825" s="284"/>
      <c r="J1825" s="284"/>
      <c r="K1825" s="284"/>
      <c r="L1825" s="284"/>
      <c r="M1825" s="284"/>
      <c r="N1825" s="284"/>
      <c r="O1825" s="284"/>
      <c r="P1825" s="284"/>
      <c r="Q1825" s="284"/>
      <c r="R1825" s="284"/>
      <c r="S1825" s="284"/>
      <c r="T1825" s="284"/>
      <c r="U1825" s="284"/>
      <c r="V1825" s="284"/>
      <c r="W1825" s="284"/>
    </row>
    <row r="1826" spans="2:23" x14ac:dyDescent="0.25">
      <c r="B1826" s="286">
        <v>111</v>
      </c>
      <c r="C1826" s="286">
        <v>120</v>
      </c>
      <c r="D1826" s="286">
        <v>111</v>
      </c>
      <c r="E1826" s="286">
        <v>120</v>
      </c>
      <c r="F1826" s="286">
        <f t="shared" si="190"/>
        <v>10</v>
      </c>
      <c r="G1826" s="284">
        <v>3</v>
      </c>
      <c r="H1826" s="286"/>
      <c r="I1826" s="284"/>
      <c r="J1826" s="284"/>
      <c r="K1826" s="284"/>
      <c r="L1826" s="284"/>
      <c r="M1826" s="284"/>
      <c r="N1826" s="284"/>
      <c r="O1826" s="284"/>
      <c r="P1826" s="284"/>
      <c r="Q1826" s="284"/>
      <c r="R1826" s="284"/>
      <c r="S1826" s="284"/>
      <c r="T1826" s="284"/>
      <c r="U1826" s="284"/>
      <c r="V1826" s="284"/>
      <c r="W1826" s="284"/>
    </row>
    <row r="1827" spans="2:23" x14ac:dyDescent="0.25">
      <c r="B1827" s="284"/>
      <c r="C1827" s="284"/>
      <c r="D1827" s="284"/>
      <c r="E1827" s="284"/>
      <c r="F1827" s="284"/>
      <c r="G1827" s="284"/>
      <c r="H1827" s="284"/>
      <c r="I1827" s="284"/>
      <c r="J1827" s="284"/>
      <c r="K1827" s="284"/>
      <c r="L1827" s="284"/>
      <c r="M1827" s="284"/>
      <c r="N1827" s="284"/>
      <c r="O1827" s="284"/>
      <c r="P1827" s="284"/>
      <c r="Q1827" s="284"/>
      <c r="R1827" s="284"/>
      <c r="S1827" s="284"/>
      <c r="T1827" s="284"/>
      <c r="U1827" s="284"/>
      <c r="V1827" s="284"/>
      <c r="W1827" s="284"/>
    </row>
    <row r="1828" spans="2:23" x14ac:dyDescent="0.25">
      <c r="B1828" s="386" t="s">
        <v>337</v>
      </c>
      <c r="C1828" s="386"/>
      <c r="D1828" s="386"/>
      <c r="E1828" s="386"/>
      <c r="F1828" s="386"/>
      <c r="G1828" s="286"/>
      <c r="H1828" s="286"/>
      <c r="I1828" s="284"/>
      <c r="J1828" s="284"/>
      <c r="K1828" s="284"/>
      <c r="L1828" s="284"/>
      <c r="M1828" s="284"/>
      <c r="N1828" s="284"/>
      <c r="O1828" s="284"/>
      <c r="P1828" s="284"/>
      <c r="Q1828" s="284"/>
      <c r="R1828" s="284"/>
      <c r="S1828" s="284"/>
      <c r="T1828" s="284"/>
      <c r="U1828" s="284"/>
      <c r="V1828" s="284"/>
      <c r="W1828" s="284"/>
    </row>
    <row r="1829" spans="2:23" x14ac:dyDescent="0.25">
      <c r="B1829" s="386" t="s">
        <v>254</v>
      </c>
      <c r="C1829" s="386"/>
      <c r="D1829" s="386" t="s">
        <v>254</v>
      </c>
      <c r="E1829" s="386"/>
      <c r="F1829" s="192" t="s">
        <v>313</v>
      </c>
      <c r="G1829" s="286" t="s">
        <v>314</v>
      </c>
      <c r="H1829" s="286" t="s">
        <v>316</v>
      </c>
      <c r="I1829" s="284"/>
      <c r="J1829" s="284"/>
      <c r="K1829" s="284"/>
      <c r="L1829" s="284"/>
      <c r="M1829" s="284"/>
      <c r="N1829" s="284"/>
      <c r="O1829" s="284"/>
      <c r="P1829" s="284"/>
      <c r="Q1829" s="284"/>
      <c r="R1829" s="284"/>
      <c r="S1829" s="284"/>
      <c r="T1829" s="284"/>
      <c r="U1829" s="284"/>
      <c r="V1829" s="284"/>
      <c r="W1829" s="284"/>
    </row>
    <row r="1830" spans="2:23" x14ac:dyDescent="0.25">
      <c r="B1830" s="286">
        <v>0</v>
      </c>
      <c r="C1830" s="286">
        <v>10</v>
      </c>
      <c r="D1830" s="286"/>
      <c r="E1830" s="286"/>
      <c r="F1830" s="286">
        <v>0</v>
      </c>
      <c r="G1830" s="284">
        <v>1.5</v>
      </c>
      <c r="H1830" s="286">
        <f>(F1830*G1830+F1831*G1831+F1832*G1832+F1833*G1833+F1834*G1834+F1835*G1835+F1836*G1836)/100</f>
        <v>2.83</v>
      </c>
      <c r="I1830" s="284"/>
      <c r="J1830" s="284"/>
      <c r="K1830" s="284"/>
      <c r="L1830" s="284"/>
      <c r="M1830" s="284"/>
      <c r="N1830" s="284"/>
      <c r="O1830" s="284"/>
      <c r="P1830" s="284"/>
      <c r="Q1830" s="284"/>
      <c r="R1830" s="284"/>
      <c r="S1830" s="284"/>
      <c r="T1830" s="284"/>
      <c r="U1830" s="284"/>
      <c r="V1830" s="284"/>
      <c r="W1830" s="284"/>
    </row>
    <row r="1831" spans="2:23" x14ac:dyDescent="0.25">
      <c r="B1831" s="286">
        <v>11</v>
      </c>
      <c r="C1831" s="286">
        <v>25</v>
      </c>
      <c r="D1831" s="286">
        <v>21</v>
      </c>
      <c r="E1831" s="286">
        <v>25</v>
      </c>
      <c r="F1831" s="286">
        <f t="shared" ref="F1831:F1836" si="191">E1831-D1831+1</f>
        <v>5</v>
      </c>
      <c r="G1831" s="284">
        <v>2</v>
      </c>
      <c r="H1831" s="286"/>
      <c r="I1831" s="284"/>
      <c r="J1831" s="284"/>
      <c r="K1831" s="284"/>
      <c r="L1831" s="284"/>
      <c r="M1831" s="284"/>
      <c r="N1831" s="284"/>
      <c r="O1831" s="284"/>
      <c r="P1831" s="284"/>
      <c r="Q1831" s="284"/>
      <c r="R1831" s="284"/>
      <c r="S1831" s="284"/>
      <c r="T1831" s="284"/>
      <c r="U1831" s="284"/>
      <c r="V1831" s="284"/>
      <c r="W1831" s="284"/>
    </row>
    <row r="1832" spans="2:23" x14ac:dyDescent="0.25">
      <c r="B1832" s="286">
        <v>26</v>
      </c>
      <c r="C1832" s="286">
        <v>55</v>
      </c>
      <c r="D1832" s="286">
        <v>26</v>
      </c>
      <c r="E1832" s="286">
        <v>55</v>
      </c>
      <c r="F1832" s="286">
        <f t="shared" si="191"/>
        <v>30</v>
      </c>
      <c r="G1832" s="284">
        <v>2.5</v>
      </c>
      <c r="H1832" s="286"/>
      <c r="I1832" s="284"/>
      <c r="J1832" s="284"/>
      <c r="K1832" s="284"/>
      <c r="L1832" s="284"/>
      <c r="M1832" s="284"/>
      <c r="N1832" s="284"/>
      <c r="O1832" s="284"/>
      <c r="P1832" s="284"/>
      <c r="Q1832" s="284"/>
      <c r="R1832" s="284"/>
      <c r="S1832" s="284"/>
      <c r="T1832" s="284"/>
      <c r="U1832" s="284"/>
      <c r="V1832" s="284"/>
      <c r="W1832" s="284"/>
    </row>
    <row r="1833" spans="2:23" x14ac:dyDescent="0.25">
      <c r="B1833" s="286">
        <v>56</v>
      </c>
      <c r="C1833" s="286">
        <v>85</v>
      </c>
      <c r="D1833" s="286">
        <v>56</v>
      </c>
      <c r="E1833" s="286">
        <v>85</v>
      </c>
      <c r="F1833" s="286">
        <f t="shared" si="191"/>
        <v>30</v>
      </c>
      <c r="G1833" s="284">
        <v>3</v>
      </c>
      <c r="H1833" s="286"/>
      <c r="I1833" s="284"/>
      <c r="J1833" s="284"/>
      <c r="K1833" s="284"/>
      <c r="L1833" s="284"/>
      <c r="M1833" s="284"/>
      <c r="N1833" s="284"/>
      <c r="O1833" s="284"/>
      <c r="P1833" s="284"/>
      <c r="Q1833" s="284"/>
      <c r="R1833" s="284"/>
      <c r="S1833" s="284"/>
      <c r="T1833" s="284"/>
      <c r="U1833" s="284"/>
      <c r="V1833" s="284"/>
      <c r="W1833" s="284"/>
    </row>
    <row r="1834" spans="2:23" x14ac:dyDescent="0.25">
      <c r="B1834" s="286">
        <v>86</v>
      </c>
      <c r="C1834" s="286">
        <v>100</v>
      </c>
      <c r="D1834" s="286">
        <v>86</v>
      </c>
      <c r="E1834" s="286">
        <v>100</v>
      </c>
      <c r="F1834" s="286">
        <f t="shared" si="191"/>
        <v>15</v>
      </c>
      <c r="G1834" s="284">
        <v>3</v>
      </c>
      <c r="H1834" s="286"/>
      <c r="I1834" s="284"/>
      <c r="J1834" s="284"/>
      <c r="K1834" s="284"/>
      <c r="L1834" s="284"/>
      <c r="M1834" s="284"/>
      <c r="N1834" s="284"/>
      <c r="O1834" s="284"/>
      <c r="P1834" s="284"/>
      <c r="Q1834" s="284"/>
      <c r="R1834" s="284"/>
      <c r="S1834" s="284"/>
      <c r="T1834" s="284"/>
      <c r="U1834" s="284"/>
      <c r="V1834" s="284"/>
      <c r="W1834" s="284"/>
    </row>
    <row r="1835" spans="2:23" x14ac:dyDescent="0.25">
      <c r="B1835" s="286">
        <v>101</v>
      </c>
      <c r="C1835" s="286">
        <v>110</v>
      </c>
      <c r="D1835" s="286">
        <v>101</v>
      </c>
      <c r="E1835" s="286">
        <v>110</v>
      </c>
      <c r="F1835" s="286">
        <f t="shared" si="191"/>
        <v>10</v>
      </c>
      <c r="G1835" s="284">
        <v>3</v>
      </c>
      <c r="H1835" s="286"/>
      <c r="I1835" s="284"/>
      <c r="J1835" s="284"/>
      <c r="K1835" s="284"/>
      <c r="L1835" s="284"/>
      <c r="M1835" s="284"/>
      <c r="N1835" s="284"/>
      <c r="O1835" s="284"/>
      <c r="P1835" s="284"/>
      <c r="Q1835" s="284"/>
      <c r="R1835" s="284"/>
      <c r="S1835" s="284"/>
      <c r="T1835" s="284"/>
      <c r="U1835" s="284"/>
      <c r="V1835" s="284"/>
      <c r="W1835" s="284"/>
    </row>
    <row r="1836" spans="2:23" x14ac:dyDescent="0.25">
      <c r="B1836" s="286">
        <v>111</v>
      </c>
      <c r="C1836" s="286">
        <v>120</v>
      </c>
      <c r="D1836" s="286">
        <v>111</v>
      </c>
      <c r="E1836" s="286">
        <v>121</v>
      </c>
      <c r="F1836" s="286">
        <f t="shared" si="191"/>
        <v>11</v>
      </c>
      <c r="G1836" s="284">
        <v>3</v>
      </c>
      <c r="H1836" s="286"/>
      <c r="I1836" s="284"/>
      <c r="J1836" s="284"/>
      <c r="K1836" s="284"/>
      <c r="L1836" s="284"/>
      <c r="M1836" s="284"/>
      <c r="N1836" s="284"/>
      <c r="O1836" s="284"/>
      <c r="P1836" s="284"/>
      <c r="Q1836" s="284"/>
      <c r="R1836" s="284"/>
      <c r="S1836" s="284"/>
      <c r="T1836" s="284"/>
      <c r="U1836" s="284"/>
      <c r="V1836" s="284"/>
      <c r="W1836" s="284"/>
    </row>
    <row r="1837" spans="2:23" x14ac:dyDescent="0.25">
      <c r="B1837" s="284"/>
      <c r="C1837" s="284"/>
      <c r="D1837" s="284"/>
      <c r="E1837" s="284"/>
      <c r="F1837" s="284"/>
      <c r="G1837" s="284"/>
      <c r="H1837" s="284"/>
      <c r="I1837" s="284"/>
      <c r="J1837" s="284"/>
      <c r="K1837" s="284"/>
      <c r="L1837" s="284"/>
      <c r="M1837" s="284"/>
      <c r="N1837" s="284"/>
      <c r="O1837" s="284"/>
      <c r="P1837" s="284"/>
      <c r="Q1837" s="284"/>
      <c r="R1837" s="284"/>
      <c r="S1837" s="284"/>
      <c r="T1837" s="284"/>
      <c r="U1837" s="284"/>
      <c r="V1837" s="284"/>
      <c r="W1837" s="284"/>
    </row>
    <row r="1838" spans="2:23" x14ac:dyDescent="0.25">
      <c r="B1838" s="386" t="s">
        <v>338</v>
      </c>
      <c r="C1838" s="386"/>
      <c r="D1838" s="386"/>
      <c r="E1838" s="386"/>
      <c r="F1838" s="386"/>
      <c r="G1838" s="286"/>
      <c r="H1838" s="286"/>
      <c r="I1838" s="284"/>
      <c r="J1838" s="284"/>
      <c r="K1838" s="284"/>
      <c r="L1838" s="284"/>
      <c r="M1838" s="284"/>
      <c r="N1838" s="284"/>
      <c r="O1838" s="284"/>
      <c r="P1838" s="284"/>
      <c r="Q1838" s="284"/>
      <c r="R1838" s="284"/>
      <c r="S1838" s="284"/>
      <c r="T1838" s="284"/>
      <c r="U1838" s="284"/>
      <c r="V1838" s="284"/>
      <c r="W1838" s="284"/>
    </row>
    <row r="1839" spans="2:23" x14ac:dyDescent="0.25">
      <c r="B1839" s="386" t="s">
        <v>254</v>
      </c>
      <c r="C1839" s="386"/>
      <c r="D1839" s="386" t="s">
        <v>254</v>
      </c>
      <c r="E1839" s="386"/>
      <c r="F1839" s="192" t="s">
        <v>313</v>
      </c>
      <c r="G1839" s="286" t="s">
        <v>314</v>
      </c>
      <c r="H1839" s="286" t="s">
        <v>316</v>
      </c>
      <c r="I1839" s="284"/>
      <c r="J1839" s="284"/>
      <c r="K1839" s="284"/>
      <c r="L1839" s="284"/>
      <c r="M1839" s="284"/>
      <c r="N1839" s="284"/>
      <c r="O1839" s="284"/>
      <c r="P1839" s="284"/>
      <c r="Q1839" s="284"/>
      <c r="R1839" s="284"/>
      <c r="S1839" s="284"/>
      <c r="T1839" s="284"/>
      <c r="U1839" s="284"/>
      <c r="V1839" s="284"/>
      <c r="W1839" s="284"/>
    </row>
    <row r="1840" spans="2:23" x14ac:dyDescent="0.25">
      <c r="B1840" s="286">
        <v>0</v>
      </c>
      <c r="C1840" s="286">
        <v>10</v>
      </c>
      <c r="D1840" s="286"/>
      <c r="E1840" s="286"/>
      <c r="F1840" s="286">
        <v>0</v>
      </c>
      <c r="G1840" s="284">
        <v>1.5</v>
      </c>
      <c r="H1840" s="286">
        <f>(F1840*G1840+F1841*G1841+F1842*G1842+F1843*G1843+F1844*G1844+F1845*G1845+F1846*G1846)/100</f>
        <v>2.84</v>
      </c>
      <c r="I1840" s="284"/>
      <c r="J1840" s="284"/>
      <c r="K1840" s="284"/>
      <c r="L1840" s="284"/>
      <c r="M1840" s="284"/>
      <c r="N1840" s="284"/>
      <c r="O1840" s="284"/>
      <c r="P1840" s="284"/>
      <c r="Q1840" s="284"/>
      <c r="R1840" s="284"/>
      <c r="S1840" s="284"/>
      <c r="T1840" s="284"/>
      <c r="U1840" s="284"/>
      <c r="V1840" s="284"/>
      <c r="W1840" s="284"/>
    </row>
    <row r="1841" spans="2:23" x14ac:dyDescent="0.25">
      <c r="B1841" s="286">
        <v>11</v>
      </c>
      <c r="C1841" s="286">
        <v>25</v>
      </c>
      <c r="D1841" s="286">
        <v>22</v>
      </c>
      <c r="E1841" s="286">
        <v>25</v>
      </c>
      <c r="F1841" s="286">
        <f t="shared" ref="F1841:F1846" si="192">E1841-D1841+1</f>
        <v>4</v>
      </c>
      <c r="G1841" s="284">
        <v>2</v>
      </c>
      <c r="H1841" s="286"/>
      <c r="I1841" s="284"/>
      <c r="J1841" s="284"/>
      <c r="K1841" s="284"/>
      <c r="L1841" s="284"/>
      <c r="M1841" s="284"/>
      <c r="N1841" s="284"/>
      <c r="O1841" s="284"/>
      <c r="P1841" s="284"/>
      <c r="Q1841" s="284"/>
      <c r="R1841" s="284"/>
      <c r="S1841" s="284"/>
      <c r="T1841" s="284"/>
      <c r="U1841" s="284"/>
      <c r="V1841" s="284"/>
      <c r="W1841" s="284"/>
    </row>
    <row r="1842" spans="2:23" x14ac:dyDescent="0.25">
      <c r="B1842" s="286">
        <v>26</v>
      </c>
      <c r="C1842" s="286">
        <v>55</v>
      </c>
      <c r="D1842" s="286">
        <v>26</v>
      </c>
      <c r="E1842" s="286">
        <v>55</v>
      </c>
      <c r="F1842" s="286">
        <f t="shared" si="192"/>
        <v>30</v>
      </c>
      <c r="G1842" s="284">
        <v>2.5</v>
      </c>
      <c r="H1842" s="286"/>
      <c r="I1842" s="284"/>
      <c r="J1842" s="284"/>
      <c r="K1842" s="284"/>
      <c r="L1842" s="284"/>
      <c r="M1842" s="284"/>
      <c r="N1842" s="284"/>
      <c r="O1842" s="284"/>
      <c r="P1842" s="284"/>
      <c r="Q1842" s="284"/>
      <c r="R1842" s="284"/>
      <c r="S1842" s="284"/>
      <c r="T1842" s="284"/>
      <c r="U1842" s="284"/>
      <c r="V1842" s="284"/>
      <c r="W1842" s="284"/>
    </row>
    <row r="1843" spans="2:23" x14ac:dyDescent="0.25">
      <c r="B1843" s="286">
        <v>56</v>
      </c>
      <c r="C1843" s="286">
        <v>85</v>
      </c>
      <c r="D1843" s="286">
        <v>56</v>
      </c>
      <c r="E1843" s="286">
        <v>85</v>
      </c>
      <c r="F1843" s="286">
        <f t="shared" si="192"/>
        <v>30</v>
      </c>
      <c r="G1843" s="284">
        <v>3</v>
      </c>
      <c r="H1843" s="286"/>
      <c r="I1843" s="284"/>
      <c r="J1843" s="284"/>
      <c r="K1843" s="284"/>
      <c r="L1843" s="284"/>
      <c r="M1843" s="284"/>
      <c r="N1843" s="284"/>
      <c r="O1843" s="284"/>
      <c r="P1843" s="284"/>
      <c r="Q1843" s="284"/>
      <c r="R1843" s="284"/>
      <c r="S1843" s="284"/>
      <c r="T1843" s="284"/>
      <c r="U1843" s="284"/>
      <c r="V1843" s="284"/>
      <c r="W1843" s="284"/>
    </row>
    <row r="1844" spans="2:23" x14ac:dyDescent="0.25">
      <c r="B1844" s="286">
        <v>86</v>
      </c>
      <c r="C1844" s="286">
        <v>100</v>
      </c>
      <c r="D1844" s="286">
        <v>86</v>
      </c>
      <c r="E1844" s="286">
        <v>100</v>
      </c>
      <c r="F1844" s="286">
        <f t="shared" si="192"/>
        <v>15</v>
      </c>
      <c r="G1844" s="284">
        <v>3</v>
      </c>
      <c r="H1844" s="286"/>
      <c r="I1844" s="284"/>
      <c r="J1844" s="284"/>
      <c r="K1844" s="284"/>
      <c r="L1844" s="284"/>
      <c r="M1844" s="284"/>
      <c r="N1844" s="284"/>
      <c r="O1844" s="284"/>
      <c r="P1844" s="284"/>
      <c r="Q1844" s="284"/>
      <c r="R1844" s="284"/>
      <c r="S1844" s="284"/>
      <c r="T1844" s="284"/>
      <c r="U1844" s="284"/>
      <c r="V1844" s="284"/>
      <c r="W1844" s="284"/>
    </row>
    <row r="1845" spans="2:23" x14ac:dyDescent="0.25">
      <c r="B1845" s="286">
        <v>101</v>
      </c>
      <c r="C1845" s="286">
        <v>110</v>
      </c>
      <c r="D1845" s="286">
        <v>101</v>
      </c>
      <c r="E1845" s="286">
        <v>110</v>
      </c>
      <c r="F1845" s="286">
        <f t="shared" si="192"/>
        <v>10</v>
      </c>
      <c r="G1845" s="284">
        <v>3</v>
      </c>
      <c r="H1845" s="286"/>
      <c r="I1845" s="284"/>
      <c r="J1845" s="284"/>
      <c r="K1845" s="284"/>
      <c r="L1845" s="284"/>
      <c r="M1845" s="284"/>
      <c r="N1845" s="284"/>
      <c r="O1845" s="284"/>
      <c r="P1845" s="284"/>
      <c r="Q1845" s="284"/>
      <c r="R1845" s="284"/>
      <c r="S1845" s="284"/>
      <c r="T1845" s="284"/>
      <c r="U1845" s="284"/>
      <c r="V1845" s="284"/>
      <c r="W1845" s="284"/>
    </row>
    <row r="1846" spans="2:23" x14ac:dyDescent="0.25">
      <c r="B1846" s="286">
        <v>111</v>
      </c>
      <c r="C1846" s="286">
        <v>120</v>
      </c>
      <c r="D1846" s="286">
        <v>111</v>
      </c>
      <c r="E1846" s="286">
        <v>122</v>
      </c>
      <c r="F1846" s="286">
        <f t="shared" si="192"/>
        <v>12</v>
      </c>
      <c r="G1846" s="284">
        <v>3</v>
      </c>
      <c r="H1846" s="286"/>
      <c r="I1846" s="284"/>
      <c r="J1846" s="284"/>
      <c r="K1846" s="284"/>
      <c r="L1846" s="284"/>
      <c r="M1846" s="284"/>
      <c r="N1846" s="284"/>
      <c r="O1846" s="284"/>
      <c r="P1846" s="284"/>
      <c r="Q1846" s="284"/>
      <c r="R1846" s="284"/>
      <c r="S1846" s="284"/>
      <c r="T1846" s="284"/>
      <c r="U1846" s="284"/>
      <c r="V1846" s="284"/>
      <c r="W1846" s="284"/>
    </row>
    <row r="1847" spans="2:23" x14ac:dyDescent="0.25">
      <c r="B1847" s="284"/>
      <c r="C1847" s="284"/>
      <c r="D1847" s="284"/>
      <c r="E1847" s="284"/>
      <c r="F1847" s="284"/>
      <c r="G1847" s="284"/>
      <c r="H1847" s="284"/>
      <c r="I1847" s="284"/>
      <c r="J1847" s="284"/>
      <c r="K1847" s="284"/>
      <c r="L1847" s="284"/>
      <c r="M1847" s="284"/>
      <c r="N1847" s="284"/>
      <c r="O1847" s="284"/>
      <c r="P1847" s="284"/>
      <c r="Q1847" s="284"/>
      <c r="R1847" s="284"/>
      <c r="S1847" s="284"/>
      <c r="T1847" s="284"/>
      <c r="U1847" s="284"/>
      <c r="V1847" s="284"/>
      <c r="W1847" s="284"/>
    </row>
    <row r="1848" spans="2:23" x14ac:dyDescent="0.25">
      <c r="B1848" s="386" t="s">
        <v>339</v>
      </c>
      <c r="C1848" s="386"/>
      <c r="D1848" s="386"/>
      <c r="E1848" s="386"/>
      <c r="F1848" s="386"/>
      <c r="G1848" s="286"/>
      <c r="H1848" s="286"/>
      <c r="I1848" s="284"/>
      <c r="J1848" s="284"/>
      <c r="K1848" s="284"/>
      <c r="L1848" s="284"/>
      <c r="M1848" s="284"/>
      <c r="N1848" s="284"/>
      <c r="O1848" s="284"/>
      <c r="P1848" s="284"/>
      <c r="Q1848" s="284"/>
      <c r="R1848" s="284"/>
      <c r="S1848" s="284"/>
      <c r="T1848" s="284"/>
      <c r="U1848" s="284"/>
      <c r="V1848" s="284"/>
      <c r="W1848" s="284"/>
    </row>
    <row r="1849" spans="2:23" x14ac:dyDescent="0.25">
      <c r="B1849" s="386" t="s">
        <v>254</v>
      </c>
      <c r="C1849" s="386"/>
      <c r="D1849" s="386" t="s">
        <v>254</v>
      </c>
      <c r="E1849" s="386"/>
      <c r="F1849" s="192" t="s">
        <v>313</v>
      </c>
      <c r="G1849" s="286" t="s">
        <v>314</v>
      </c>
      <c r="H1849" s="286" t="s">
        <v>316</v>
      </c>
      <c r="I1849" s="284"/>
      <c r="J1849" s="284"/>
      <c r="K1849" s="284"/>
      <c r="L1849" s="284"/>
      <c r="M1849" s="284"/>
      <c r="N1849" s="284"/>
      <c r="O1849" s="284"/>
      <c r="P1849" s="284"/>
      <c r="Q1849" s="284"/>
      <c r="R1849" s="284"/>
      <c r="S1849" s="284"/>
      <c r="T1849" s="284"/>
      <c r="U1849" s="284"/>
      <c r="V1849" s="284"/>
      <c r="W1849" s="284"/>
    </row>
    <row r="1850" spans="2:23" x14ac:dyDescent="0.25">
      <c r="B1850" s="286">
        <v>0</v>
      </c>
      <c r="C1850" s="286">
        <v>10</v>
      </c>
      <c r="D1850" s="286"/>
      <c r="E1850" s="286"/>
      <c r="F1850" s="286">
        <v>0</v>
      </c>
      <c r="G1850" s="284">
        <v>1.5</v>
      </c>
      <c r="H1850" s="286">
        <f>(F1850*G1850+F1851*G1851+F1852*G1852+F1853*G1853+F1854*G1854+F1855*G1855+F1856*G1856)/100</f>
        <v>2.85</v>
      </c>
      <c r="I1850" s="284"/>
      <c r="J1850" s="284"/>
      <c r="K1850" s="284"/>
      <c r="L1850" s="284"/>
      <c r="M1850" s="284"/>
      <c r="N1850" s="284"/>
      <c r="O1850" s="284"/>
      <c r="P1850" s="284"/>
      <c r="Q1850" s="284"/>
      <c r="R1850" s="284"/>
      <c r="S1850" s="284"/>
      <c r="T1850" s="284"/>
      <c r="U1850" s="284"/>
      <c r="V1850" s="284"/>
      <c r="W1850" s="284"/>
    </row>
    <row r="1851" spans="2:23" x14ac:dyDescent="0.25">
      <c r="B1851" s="286">
        <v>11</v>
      </c>
      <c r="C1851" s="286">
        <v>25</v>
      </c>
      <c r="D1851" s="286">
        <v>23</v>
      </c>
      <c r="E1851" s="286">
        <v>25</v>
      </c>
      <c r="F1851" s="286">
        <f t="shared" ref="F1851:F1856" si="193">E1851-D1851+1</f>
        <v>3</v>
      </c>
      <c r="G1851" s="284">
        <v>2</v>
      </c>
      <c r="H1851" s="286"/>
      <c r="I1851" s="284"/>
      <c r="J1851" s="284"/>
      <c r="K1851" s="284"/>
      <c r="L1851" s="284"/>
      <c r="M1851" s="284"/>
      <c r="N1851" s="284"/>
      <c r="O1851" s="284"/>
      <c r="P1851" s="284"/>
      <c r="Q1851" s="284"/>
      <c r="R1851" s="284"/>
      <c r="S1851" s="284"/>
      <c r="T1851" s="284"/>
      <c r="U1851" s="284"/>
      <c r="V1851" s="284"/>
      <c r="W1851" s="284"/>
    </row>
    <row r="1852" spans="2:23" x14ac:dyDescent="0.25">
      <c r="B1852" s="286">
        <v>26</v>
      </c>
      <c r="C1852" s="286">
        <v>55</v>
      </c>
      <c r="D1852" s="286">
        <v>26</v>
      </c>
      <c r="E1852" s="286">
        <v>55</v>
      </c>
      <c r="F1852" s="286">
        <f t="shared" si="193"/>
        <v>30</v>
      </c>
      <c r="G1852" s="284">
        <v>2.5</v>
      </c>
      <c r="H1852" s="286"/>
      <c r="I1852" s="284"/>
      <c r="J1852" s="284"/>
      <c r="K1852" s="284"/>
      <c r="L1852" s="284"/>
      <c r="M1852" s="284"/>
      <c r="N1852" s="284"/>
      <c r="O1852" s="284"/>
      <c r="P1852" s="284"/>
      <c r="Q1852" s="284"/>
      <c r="R1852" s="284"/>
      <c r="S1852" s="284"/>
      <c r="T1852" s="284"/>
      <c r="U1852" s="284"/>
      <c r="V1852" s="284"/>
      <c r="W1852" s="284"/>
    </row>
    <row r="1853" spans="2:23" x14ac:dyDescent="0.25">
      <c r="B1853" s="286">
        <v>56</v>
      </c>
      <c r="C1853" s="286">
        <v>85</v>
      </c>
      <c r="D1853" s="286">
        <v>56</v>
      </c>
      <c r="E1853" s="286">
        <v>85</v>
      </c>
      <c r="F1853" s="286">
        <f t="shared" si="193"/>
        <v>30</v>
      </c>
      <c r="G1853" s="284">
        <v>3</v>
      </c>
      <c r="H1853" s="286"/>
      <c r="I1853" s="284"/>
      <c r="J1853" s="284"/>
      <c r="K1853" s="284"/>
      <c r="L1853" s="284"/>
      <c r="M1853" s="284"/>
      <c r="N1853" s="284"/>
      <c r="O1853" s="284"/>
      <c r="P1853" s="284"/>
      <c r="Q1853" s="284"/>
      <c r="R1853" s="284"/>
      <c r="S1853" s="284"/>
      <c r="T1853" s="284"/>
      <c r="U1853" s="284"/>
      <c r="V1853" s="284"/>
      <c r="W1853" s="284"/>
    </row>
    <row r="1854" spans="2:23" x14ac:dyDescent="0.25">
      <c r="B1854" s="286">
        <v>86</v>
      </c>
      <c r="C1854" s="286">
        <v>100</v>
      </c>
      <c r="D1854" s="286">
        <v>86</v>
      </c>
      <c r="E1854" s="286">
        <v>100</v>
      </c>
      <c r="F1854" s="286">
        <f t="shared" si="193"/>
        <v>15</v>
      </c>
      <c r="G1854" s="284">
        <v>3</v>
      </c>
      <c r="H1854" s="286"/>
      <c r="I1854" s="284"/>
      <c r="J1854" s="284"/>
      <c r="K1854" s="284"/>
      <c r="L1854" s="284"/>
      <c r="M1854" s="284"/>
      <c r="N1854" s="284"/>
      <c r="O1854" s="284"/>
      <c r="P1854" s="284"/>
      <c r="Q1854" s="284"/>
      <c r="R1854" s="284"/>
      <c r="S1854" s="284"/>
      <c r="T1854" s="284"/>
      <c r="U1854" s="284"/>
      <c r="V1854" s="284"/>
      <c r="W1854" s="284"/>
    </row>
    <row r="1855" spans="2:23" x14ac:dyDescent="0.25">
      <c r="B1855" s="286">
        <v>101</v>
      </c>
      <c r="C1855" s="286">
        <v>110</v>
      </c>
      <c r="D1855" s="286">
        <v>101</v>
      </c>
      <c r="E1855" s="286">
        <v>110</v>
      </c>
      <c r="F1855" s="286">
        <f t="shared" si="193"/>
        <v>10</v>
      </c>
      <c r="G1855" s="284">
        <v>3</v>
      </c>
      <c r="H1855" s="286"/>
      <c r="I1855" s="284"/>
      <c r="J1855" s="284"/>
      <c r="K1855" s="284"/>
      <c r="L1855" s="284"/>
      <c r="M1855" s="284"/>
      <c r="N1855" s="284"/>
      <c r="O1855" s="284"/>
      <c r="P1855" s="284"/>
      <c r="Q1855" s="284"/>
      <c r="R1855" s="284"/>
      <c r="S1855" s="284"/>
      <c r="T1855" s="284"/>
      <c r="U1855" s="284"/>
      <c r="V1855" s="284"/>
      <c r="W1855" s="284"/>
    </row>
    <row r="1856" spans="2:23" x14ac:dyDescent="0.25">
      <c r="B1856" s="286">
        <v>111</v>
      </c>
      <c r="C1856" s="286">
        <v>120</v>
      </c>
      <c r="D1856" s="286">
        <v>111</v>
      </c>
      <c r="E1856" s="286">
        <v>123</v>
      </c>
      <c r="F1856" s="286">
        <f t="shared" si="193"/>
        <v>13</v>
      </c>
      <c r="G1856" s="284">
        <v>3</v>
      </c>
      <c r="H1856" s="286"/>
      <c r="I1856" s="284"/>
      <c r="J1856" s="284"/>
      <c r="K1856" s="284"/>
      <c r="L1856" s="284"/>
      <c r="M1856" s="284"/>
      <c r="N1856" s="284"/>
      <c r="O1856" s="284"/>
      <c r="P1856" s="284"/>
      <c r="Q1856" s="284"/>
      <c r="R1856" s="284"/>
      <c r="S1856" s="284"/>
      <c r="T1856" s="284"/>
      <c r="U1856" s="284"/>
      <c r="V1856" s="284"/>
      <c r="W1856" s="284"/>
    </row>
    <row r="1857" spans="2:23" x14ac:dyDescent="0.25">
      <c r="B1857" s="284"/>
      <c r="C1857" s="284"/>
      <c r="D1857" s="284"/>
      <c r="E1857" s="284"/>
      <c r="F1857" s="284"/>
      <c r="G1857" s="284"/>
      <c r="H1857" s="284"/>
      <c r="I1857" s="284"/>
      <c r="J1857" s="284"/>
      <c r="K1857" s="284"/>
      <c r="L1857" s="284"/>
      <c r="M1857" s="284"/>
      <c r="N1857" s="284"/>
      <c r="O1857" s="284"/>
      <c r="P1857" s="284"/>
      <c r="Q1857" s="284"/>
      <c r="R1857" s="284"/>
      <c r="S1857" s="284"/>
      <c r="T1857" s="284"/>
      <c r="U1857" s="284"/>
      <c r="V1857" s="284"/>
      <c r="W1857" s="284"/>
    </row>
    <row r="1858" spans="2:23" x14ac:dyDescent="0.25">
      <c r="B1858" s="386" t="s">
        <v>340</v>
      </c>
      <c r="C1858" s="386"/>
      <c r="D1858" s="386"/>
      <c r="E1858" s="386"/>
      <c r="F1858" s="386"/>
      <c r="G1858" s="286"/>
      <c r="H1858" s="286"/>
      <c r="I1858" s="284"/>
      <c r="J1858" s="284"/>
      <c r="K1858" s="284"/>
      <c r="L1858" s="284"/>
      <c r="M1858" s="284"/>
      <c r="N1858" s="284"/>
      <c r="O1858" s="284"/>
      <c r="P1858" s="284"/>
      <c r="Q1858" s="284"/>
      <c r="R1858" s="284"/>
      <c r="S1858" s="284"/>
      <c r="T1858" s="284"/>
      <c r="U1858" s="284"/>
      <c r="V1858" s="284"/>
      <c r="W1858" s="284"/>
    </row>
    <row r="1859" spans="2:23" x14ac:dyDescent="0.25">
      <c r="B1859" s="386" t="s">
        <v>254</v>
      </c>
      <c r="C1859" s="386"/>
      <c r="D1859" s="386" t="s">
        <v>254</v>
      </c>
      <c r="E1859" s="386"/>
      <c r="F1859" s="192" t="s">
        <v>313</v>
      </c>
      <c r="G1859" s="286" t="s">
        <v>314</v>
      </c>
      <c r="H1859" s="286" t="s">
        <v>316</v>
      </c>
      <c r="I1859" s="284"/>
      <c r="J1859" s="284"/>
      <c r="K1859" s="284"/>
      <c r="L1859" s="284"/>
      <c r="M1859" s="284"/>
      <c r="N1859" s="284"/>
      <c r="O1859" s="284"/>
      <c r="P1859" s="284"/>
      <c r="Q1859" s="284"/>
      <c r="R1859" s="284"/>
      <c r="S1859" s="284"/>
      <c r="T1859" s="284"/>
      <c r="U1859" s="284"/>
      <c r="V1859" s="284"/>
      <c r="W1859" s="284"/>
    </row>
    <row r="1860" spans="2:23" x14ac:dyDescent="0.25">
      <c r="B1860" s="286">
        <v>0</v>
      </c>
      <c r="C1860" s="286">
        <v>10</v>
      </c>
      <c r="D1860" s="286"/>
      <c r="E1860" s="286"/>
      <c r="F1860" s="286">
        <v>0</v>
      </c>
      <c r="G1860" s="284">
        <v>1.5</v>
      </c>
      <c r="H1860" s="286">
        <f>(F1860*G1860+F1861*G1861+F1862*G1862+F1863*G1863+F1864*G1864+F1865*G1865+F1866*G1866)/100</f>
        <v>2.86</v>
      </c>
      <c r="I1860" s="284"/>
      <c r="J1860" s="284"/>
      <c r="K1860" s="284"/>
      <c r="L1860" s="284"/>
      <c r="M1860" s="284"/>
      <c r="N1860" s="284"/>
      <c r="O1860" s="284"/>
      <c r="P1860" s="284"/>
      <c r="Q1860" s="284"/>
      <c r="R1860" s="284"/>
      <c r="S1860" s="284"/>
      <c r="T1860" s="284"/>
      <c r="U1860" s="284"/>
      <c r="V1860" s="284"/>
      <c r="W1860" s="284"/>
    </row>
    <row r="1861" spans="2:23" x14ac:dyDescent="0.25">
      <c r="B1861" s="286">
        <v>11</v>
      </c>
      <c r="C1861" s="286">
        <v>25</v>
      </c>
      <c r="D1861" s="286">
        <v>24</v>
      </c>
      <c r="E1861" s="286">
        <v>25</v>
      </c>
      <c r="F1861" s="286">
        <f t="shared" ref="F1861:F1866" si="194">E1861-D1861+1</f>
        <v>2</v>
      </c>
      <c r="G1861" s="284">
        <v>2</v>
      </c>
      <c r="H1861" s="286"/>
      <c r="I1861" s="284"/>
      <c r="J1861" s="284"/>
      <c r="K1861" s="284"/>
      <c r="L1861" s="284"/>
      <c r="M1861" s="284"/>
      <c r="N1861" s="284"/>
      <c r="O1861" s="284"/>
      <c r="P1861" s="284"/>
      <c r="Q1861" s="284"/>
      <c r="R1861" s="284"/>
      <c r="S1861" s="284"/>
      <c r="T1861" s="284"/>
      <c r="U1861" s="284"/>
      <c r="V1861" s="284"/>
      <c r="W1861" s="284"/>
    </row>
    <row r="1862" spans="2:23" x14ac:dyDescent="0.25">
      <c r="B1862" s="286">
        <v>26</v>
      </c>
      <c r="C1862" s="286">
        <v>55</v>
      </c>
      <c r="D1862" s="286">
        <v>26</v>
      </c>
      <c r="E1862" s="286">
        <v>55</v>
      </c>
      <c r="F1862" s="286">
        <f t="shared" si="194"/>
        <v>30</v>
      </c>
      <c r="G1862" s="284">
        <v>2.5</v>
      </c>
      <c r="H1862" s="286"/>
      <c r="I1862" s="284"/>
      <c r="J1862" s="284"/>
      <c r="K1862" s="284"/>
      <c r="L1862" s="284"/>
      <c r="M1862" s="284"/>
      <c r="N1862" s="284"/>
      <c r="O1862" s="284"/>
      <c r="P1862" s="284"/>
      <c r="Q1862" s="284"/>
      <c r="R1862" s="284"/>
      <c r="S1862" s="284"/>
      <c r="T1862" s="284"/>
      <c r="U1862" s="284"/>
      <c r="V1862" s="284"/>
      <c r="W1862" s="284"/>
    </row>
    <row r="1863" spans="2:23" x14ac:dyDescent="0.25">
      <c r="B1863" s="286">
        <v>56</v>
      </c>
      <c r="C1863" s="286">
        <v>85</v>
      </c>
      <c r="D1863" s="286">
        <v>56</v>
      </c>
      <c r="E1863" s="286">
        <v>85</v>
      </c>
      <c r="F1863" s="286">
        <f t="shared" si="194"/>
        <v>30</v>
      </c>
      <c r="G1863" s="284">
        <v>3</v>
      </c>
      <c r="H1863" s="286"/>
      <c r="I1863" s="284"/>
      <c r="J1863" s="284"/>
      <c r="K1863" s="284"/>
      <c r="L1863" s="284"/>
      <c r="M1863" s="284"/>
      <c r="N1863" s="284"/>
      <c r="O1863" s="284"/>
      <c r="P1863" s="284"/>
      <c r="Q1863" s="284"/>
      <c r="R1863" s="284"/>
      <c r="S1863" s="284"/>
      <c r="T1863" s="284"/>
      <c r="U1863" s="284"/>
      <c r="V1863" s="284"/>
      <c r="W1863" s="284"/>
    </row>
    <row r="1864" spans="2:23" x14ac:dyDescent="0.25">
      <c r="B1864" s="286">
        <v>86</v>
      </c>
      <c r="C1864" s="286">
        <v>100</v>
      </c>
      <c r="D1864" s="286">
        <v>86</v>
      </c>
      <c r="E1864" s="286">
        <v>100</v>
      </c>
      <c r="F1864" s="286">
        <f t="shared" si="194"/>
        <v>15</v>
      </c>
      <c r="G1864" s="284">
        <v>3</v>
      </c>
      <c r="H1864" s="286"/>
      <c r="I1864" s="284"/>
      <c r="J1864" s="284"/>
      <c r="K1864" s="284"/>
      <c r="L1864" s="284"/>
      <c r="M1864" s="284"/>
      <c r="N1864" s="284"/>
      <c r="O1864" s="284"/>
      <c r="P1864" s="284"/>
      <c r="Q1864" s="284"/>
      <c r="R1864" s="284"/>
      <c r="S1864" s="284"/>
      <c r="T1864" s="284"/>
      <c r="U1864" s="284"/>
      <c r="V1864" s="284"/>
      <c r="W1864" s="284"/>
    </row>
    <row r="1865" spans="2:23" x14ac:dyDescent="0.25">
      <c r="B1865" s="286">
        <v>101</v>
      </c>
      <c r="C1865" s="286">
        <v>110</v>
      </c>
      <c r="D1865" s="286">
        <v>101</v>
      </c>
      <c r="E1865" s="286">
        <v>110</v>
      </c>
      <c r="F1865" s="286">
        <f t="shared" si="194"/>
        <v>10</v>
      </c>
      <c r="G1865" s="284">
        <v>3</v>
      </c>
      <c r="H1865" s="286"/>
      <c r="I1865" s="284"/>
      <c r="J1865" s="284"/>
      <c r="K1865" s="284"/>
      <c r="L1865" s="284"/>
      <c r="M1865" s="284"/>
      <c r="N1865" s="284"/>
      <c r="O1865" s="284"/>
      <c r="P1865" s="284"/>
      <c r="Q1865" s="284"/>
      <c r="R1865" s="284"/>
      <c r="S1865" s="284"/>
      <c r="T1865" s="284"/>
      <c r="U1865" s="284"/>
      <c r="V1865" s="284"/>
      <c r="W1865" s="284"/>
    </row>
    <row r="1866" spans="2:23" x14ac:dyDescent="0.25">
      <c r="B1866" s="286">
        <v>111</v>
      </c>
      <c r="C1866" s="286">
        <v>120</v>
      </c>
      <c r="D1866" s="286">
        <v>111</v>
      </c>
      <c r="E1866" s="286">
        <v>124</v>
      </c>
      <c r="F1866" s="286">
        <f t="shared" si="194"/>
        <v>14</v>
      </c>
      <c r="G1866" s="284">
        <v>3</v>
      </c>
      <c r="H1866" s="286"/>
      <c r="I1866" s="284"/>
      <c r="J1866" s="284"/>
      <c r="K1866" s="284"/>
      <c r="L1866" s="284"/>
      <c r="M1866" s="284"/>
      <c r="N1866" s="284"/>
      <c r="O1866" s="284"/>
      <c r="P1866" s="284"/>
      <c r="Q1866" s="284"/>
      <c r="R1866" s="284"/>
      <c r="S1866" s="284"/>
      <c r="T1866" s="284"/>
      <c r="U1866" s="284"/>
      <c r="V1866" s="284"/>
      <c r="W1866" s="284"/>
    </row>
    <row r="1867" spans="2:23" x14ac:dyDescent="0.25">
      <c r="B1867" s="284"/>
      <c r="C1867" s="284"/>
      <c r="D1867" s="284"/>
      <c r="E1867" s="284"/>
      <c r="F1867" s="284"/>
      <c r="G1867" s="284"/>
      <c r="H1867" s="284"/>
      <c r="I1867" s="284"/>
      <c r="J1867" s="284"/>
      <c r="K1867" s="284"/>
      <c r="L1867" s="284"/>
      <c r="M1867" s="284"/>
      <c r="N1867" s="284"/>
      <c r="O1867" s="284"/>
      <c r="P1867" s="284"/>
      <c r="Q1867" s="284"/>
      <c r="R1867" s="284"/>
      <c r="S1867" s="284"/>
      <c r="T1867" s="284"/>
      <c r="U1867" s="284"/>
      <c r="V1867" s="284"/>
      <c r="W1867" s="284"/>
    </row>
    <row r="1868" spans="2:23" x14ac:dyDescent="0.25">
      <c r="B1868" s="386" t="s">
        <v>341</v>
      </c>
      <c r="C1868" s="386"/>
      <c r="D1868" s="386"/>
      <c r="E1868" s="386"/>
      <c r="F1868" s="386"/>
      <c r="G1868" s="286"/>
      <c r="H1868" s="286"/>
      <c r="I1868" s="284"/>
      <c r="J1868" s="284"/>
      <c r="K1868" s="284"/>
      <c r="L1868" s="284"/>
      <c r="M1868" s="284"/>
      <c r="N1868" s="284"/>
      <c r="O1868" s="284"/>
      <c r="P1868" s="284"/>
      <c r="Q1868" s="284"/>
      <c r="R1868" s="284"/>
      <c r="S1868" s="284"/>
      <c r="T1868" s="284"/>
      <c r="U1868" s="284"/>
      <c r="V1868" s="284"/>
      <c r="W1868" s="284"/>
    </row>
    <row r="1869" spans="2:23" x14ac:dyDescent="0.25">
      <c r="B1869" s="386" t="s">
        <v>254</v>
      </c>
      <c r="C1869" s="386"/>
      <c r="D1869" s="386" t="s">
        <v>254</v>
      </c>
      <c r="E1869" s="386"/>
      <c r="F1869" s="192" t="s">
        <v>313</v>
      </c>
      <c r="G1869" s="286" t="s">
        <v>314</v>
      </c>
      <c r="H1869" s="286" t="s">
        <v>316</v>
      </c>
      <c r="I1869" s="284"/>
      <c r="J1869" s="284"/>
      <c r="K1869" s="284"/>
      <c r="L1869" s="284"/>
      <c r="M1869" s="284"/>
      <c r="N1869" s="284"/>
      <c r="O1869" s="284"/>
      <c r="P1869" s="284"/>
      <c r="Q1869" s="284"/>
      <c r="R1869" s="284"/>
      <c r="S1869" s="284"/>
      <c r="T1869" s="284"/>
      <c r="U1869" s="284"/>
      <c r="V1869" s="284"/>
      <c r="W1869" s="284"/>
    </row>
    <row r="1870" spans="2:23" x14ac:dyDescent="0.25">
      <c r="B1870" s="286">
        <v>0</v>
      </c>
      <c r="C1870" s="286">
        <v>10</v>
      </c>
      <c r="D1870" s="286"/>
      <c r="E1870" s="286"/>
      <c r="F1870" s="286">
        <v>0</v>
      </c>
      <c r="G1870" s="284">
        <v>1.5</v>
      </c>
      <c r="H1870" s="286">
        <f>(F1870*G1870+F1871*G1871+F1872*G1872+F1873*G1873+F1874*G1874+F1875*G1875+F1876*G1876)/100</f>
        <v>2.87</v>
      </c>
      <c r="I1870" s="284"/>
      <c r="J1870" s="284"/>
      <c r="K1870" s="284"/>
      <c r="L1870" s="284"/>
      <c r="M1870" s="284"/>
      <c r="N1870" s="284"/>
      <c r="O1870" s="284"/>
      <c r="P1870" s="284"/>
      <c r="Q1870" s="284"/>
      <c r="R1870" s="284"/>
      <c r="S1870" s="284"/>
      <c r="T1870" s="284"/>
      <c r="U1870" s="284"/>
      <c r="V1870" s="284"/>
      <c r="W1870" s="284"/>
    </row>
    <row r="1871" spans="2:23" x14ac:dyDescent="0.25">
      <c r="B1871" s="286">
        <v>11</v>
      </c>
      <c r="C1871" s="286">
        <v>25</v>
      </c>
      <c r="D1871" s="286">
        <v>25</v>
      </c>
      <c r="E1871" s="286">
        <v>25</v>
      </c>
      <c r="F1871" s="286">
        <f t="shared" ref="F1871:F1876" si="195">E1871-D1871+1</f>
        <v>1</v>
      </c>
      <c r="G1871" s="284">
        <v>2</v>
      </c>
      <c r="H1871" s="286"/>
      <c r="I1871" s="284"/>
      <c r="J1871" s="284"/>
      <c r="K1871" s="284"/>
      <c r="L1871" s="284"/>
      <c r="M1871" s="284"/>
      <c r="N1871" s="284"/>
      <c r="O1871" s="284"/>
      <c r="P1871" s="284"/>
      <c r="Q1871" s="284"/>
      <c r="R1871" s="284"/>
      <c r="S1871" s="284"/>
      <c r="T1871" s="284"/>
      <c r="U1871" s="284"/>
      <c r="V1871" s="284"/>
      <c r="W1871" s="284"/>
    </row>
    <row r="1872" spans="2:23" x14ac:dyDescent="0.25">
      <c r="B1872" s="286">
        <v>26</v>
      </c>
      <c r="C1872" s="286">
        <v>55</v>
      </c>
      <c r="D1872" s="286">
        <v>26</v>
      </c>
      <c r="E1872" s="286">
        <v>55</v>
      </c>
      <c r="F1872" s="286">
        <f t="shared" si="195"/>
        <v>30</v>
      </c>
      <c r="G1872" s="284">
        <v>2.5</v>
      </c>
      <c r="H1872" s="286"/>
      <c r="I1872" s="284"/>
      <c r="J1872" s="284"/>
      <c r="K1872" s="284"/>
      <c r="L1872" s="284"/>
      <c r="M1872" s="284"/>
      <c r="N1872" s="284"/>
      <c r="O1872" s="284"/>
      <c r="P1872" s="284"/>
      <c r="Q1872" s="284"/>
      <c r="R1872" s="284"/>
      <c r="S1872" s="284"/>
      <c r="T1872" s="284"/>
      <c r="U1872" s="284"/>
      <c r="V1872" s="284"/>
      <c r="W1872" s="284"/>
    </row>
    <row r="1873" spans="2:23" x14ac:dyDescent="0.25">
      <c r="B1873" s="286">
        <v>56</v>
      </c>
      <c r="C1873" s="286">
        <v>85</v>
      </c>
      <c r="D1873" s="286">
        <v>56</v>
      </c>
      <c r="E1873" s="286">
        <v>85</v>
      </c>
      <c r="F1873" s="286">
        <f t="shared" si="195"/>
        <v>30</v>
      </c>
      <c r="G1873" s="284">
        <v>3</v>
      </c>
      <c r="H1873" s="286"/>
      <c r="I1873" s="284"/>
      <c r="J1873" s="284"/>
      <c r="K1873" s="284"/>
      <c r="L1873" s="284"/>
      <c r="M1873" s="284"/>
      <c r="N1873" s="284"/>
      <c r="O1873" s="284"/>
      <c r="P1873" s="284"/>
      <c r="Q1873" s="284"/>
      <c r="R1873" s="284"/>
      <c r="S1873" s="284"/>
      <c r="T1873" s="284"/>
      <c r="U1873" s="284"/>
      <c r="V1873" s="284"/>
      <c r="W1873" s="284"/>
    </row>
    <row r="1874" spans="2:23" x14ac:dyDescent="0.25">
      <c r="B1874" s="286">
        <v>86</v>
      </c>
      <c r="C1874" s="286">
        <v>100</v>
      </c>
      <c r="D1874" s="286">
        <v>86</v>
      </c>
      <c r="E1874" s="286">
        <v>100</v>
      </c>
      <c r="F1874" s="286">
        <f t="shared" si="195"/>
        <v>15</v>
      </c>
      <c r="G1874" s="284">
        <v>3</v>
      </c>
      <c r="H1874" s="286"/>
      <c r="I1874" s="284"/>
      <c r="J1874" s="284"/>
      <c r="K1874" s="284"/>
      <c r="L1874" s="284"/>
      <c r="M1874" s="284"/>
      <c r="N1874" s="284"/>
      <c r="O1874" s="284"/>
      <c r="P1874" s="284"/>
      <c r="Q1874" s="284"/>
      <c r="R1874" s="284"/>
      <c r="S1874" s="284"/>
      <c r="T1874" s="284"/>
      <c r="U1874" s="284"/>
      <c r="V1874" s="284"/>
      <c r="W1874" s="284"/>
    </row>
    <row r="1875" spans="2:23" x14ac:dyDescent="0.25">
      <c r="B1875" s="286">
        <v>101</v>
      </c>
      <c r="C1875" s="286">
        <v>110</v>
      </c>
      <c r="D1875" s="286">
        <v>101</v>
      </c>
      <c r="E1875" s="286">
        <v>110</v>
      </c>
      <c r="F1875" s="286">
        <f t="shared" si="195"/>
        <v>10</v>
      </c>
      <c r="G1875" s="284">
        <v>3</v>
      </c>
      <c r="H1875" s="286"/>
      <c r="I1875" s="284"/>
      <c r="J1875" s="284"/>
      <c r="K1875" s="284"/>
      <c r="L1875" s="284"/>
      <c r="M1875" s="284"/>
      <c r="N1875" s="284"/>
      <c r="O1875" s="284"/>
      <c r="P1875" s="284"/>
      <c r="Q1875" s="284"/>
      <c r="R1875" s="284"/>
      <c r="S1875" s="284"/>
      <c r="T1875" s="284"/>
      <c r="U1875" s="284"/>
      <c r="V1875" s="284"/>
      <c r="W1875" s="284"/>
    </row>
    <row r="1876" spans="2:23" x14ac:dyDescent="0.25">
      <c r="B1876" s="286">
        <v>111</v>
      </c>
      <c r="C1876" s="286">
        <v>120</v>
      </c>
      <c r="D1876" s="286">
        <v>111</v>
      </c>
      <c r="E1876" s="286">
        <v>125</v>
      </c>
      <c r="F1876" s="286">
        <f t="shared" si="195"/>
        <v>15</v>
      </c>
      <c r="G1876" s="284">
        <v>3</v>
      </c>
      <c r="H1876" s="286"/>
      <c r="I1876" s="284"/>
      <c r="J1876" s="284"/>
      <c r="K1876" s="284"/>
      <c r="L1876" s="284"/>
      <c r="M1876" s="284"/>
      <c r="N1876" s="284"/>
      <c r="O1876" s="284"/>
      <c r="P1876" s="284"/>
      <c r="Q1876" s="284"/>
      <c r="R1876" s="284"/>
      <c r="S1876" s="284"/>
      <c r="T1876" s="284"/>
      <c r="U1876" s="284"/>
      <c r="V1876" s="284"/>
      <c r="W1876" s="284"/>
    </row>
    <row r="1877" spans="2:23" x14ac:dyDescent="0.25">
      <c r="B1877" s="284"/>
      <c r="C1877" s="284"/>
      <c r="D1877" s="284"/>
      <c r="E1877" s="284"/>
      <c r="F1877" s="284"/>
      <c r="G1877" s="284"/>
      <c r="H1877" s="284"/>
      <c r="I1877" s="284"/>
      <c r="J1877" s="284"/>
      <c r="K1877" s="284"/>
      <c r="L1877" s="284"/>
      <c r="M1877" s="284"/>
      <c r="N1877" s="284"/>
      <c r="O1877" s="284"/>
      <c r="P1877" s="284"/>
      <c r="Q1877" s="284"/>
      <c r="R1877" s="284"/>
      <c r="S1877" s="284"/>
      <c r="T1877" s="284"/>
      <c r="U1877" s="284"/>
      <c r="V1877" s="284"/>
      <c r="W1877" s="284"/>
    </row>
    <row r="1878" spans="2:23" x14ac:dyDescent="0.25">
      <c r="B1878" s="386" t="s">
        <v>342</v>
      </c>
      <c r="C1878" s="386"/>
      <c r="D1878" s="386"/>
      <c r="E1878" s="386"/>
      <c r="F1878" s="386"/>
      <c r="G1878" s="286"/>
      <c r="H1878" s="286"/>
      <c r="I1878" s="284"/>
      <c r="J1878" s="284"/>
      <c r="K1878" s="284"/>
      <c r="L1878" s="284"/>
      <c r="M1878" s="284"/>
      <c r="N1878" s="284"/>
      <c r="O1878" s="284"/>
      <c r="P1878" s="284"/>
      <c r="Q1878" s="284"/>
      <c r="R1878" s="284"/>
      <c r="S1878" s="284"/>
      <c r="T1878" s="284"/>
      <c r="U1878" s="284"/>
      <c r="V1878" s="284"/>
      <c r="W1878" s="284"/>
    </row>
    <row r="1879" spans="2:23" x14ac:dyDescent="0.25">
      <c r="B1879" s="386" t="s">
        <v>254</v>
      </c>
      <c r="C1879" s="386"/>
      <c r="D1879" s="386" t="s">
        <v>254</v>
      </c>
      <c r="E1879" s="386"/>
      <c r="F1879" s="192" t="s">
        <v>313</v>
      </c>
      <c r="G1879" s="286" t="s">
        <v>314</v>
      </c>
      <c r="H1879" s="286" t="s">
        <v>316</v>
      </c>
      <c r="I1879" s="284"/>
      <c r="J1879" s="284"/>
      <c r="K1879" s="284"/>
      <c r="L1879" s="284"/>
      <c r="M1879" s="284"/>
      <c r="N1879" s="284"/>
      <c r="O1879" s="284"/>
      <c r="P1879" s="284"/>
      <c r="Q1879" s="284"/>
      <c r="R1879" s="284"/>
      <c r="S1879" s="284"/>
      <c r="T1879" s="284"/>
      <c r="U1879" s="284"/>
      <c r="V1879" s="284"/>
      <c r="W1879" s="284"/>
    </row>
    <row r="1880" spans="2:23" x14ac:dyDescent="0.25">
      <c r="B1880" s="286">
        <v>0</v>
      </c>
      <c r="C1880" s="286">
        <v>10</v>
      </c>
      <c r="D1880" s="286"/>
      <c r="E1880" s="286"/>
      <c r="F1880" s="286">
        <v>0</v>
      </c>
      <c r="G1880" s="284">
        <v>1.5</v>
      </c>
      <c r="H1880" s="286">
        <f>(F1880*G1880+F1881*G1881+F1882*G1882+F1883*G1883+F1884*G1884+F1885*G1885+F1886*G1886)/100</f>
        <v>2.88</v>
      </c>
      <c r="I1880" s="284"/>
      <c r="J1880" s="284"/>
      <c r="K1880" s="284"/>
      <c r="L1880" s="284"/>
      <c r="M1880" s="284"/>
      <c r="N1880" s="284"/>
      <c r="O1880" s="284"/>
      <c r="P1880" s="284"/>
      <c r="Q1880" s="284"/>
      <c r="R1880" s="284"/>
      <c r="S1880" s="284"/>
      <c r="T1880" s="284"/>
      <c r="U1880" s="284"/>
      <c r="V1880" s="284"/>
      <c r="W1880" s="284"/>
    </row>
    <row r="1881" spans="2:23" x14ac:dyDescent="0.25">
      <c r="B1881" s="286">
        <v>11</v>
      </c>
      <c r="C1881" s="286">
        <v>25</v>
      </c>
      <c r="D1881" s="286"/>
      <c r="E1881" s="286"/>
      <c r="F1881" s="286">
        <v>0</v>
      </c>
      <c r="G1881" s="284">
        <v>2</v>
      </c>
      <c r="H1881" s="286"/>
      <c r="I1881" s="284"/>
      <c r="J1881" s="284"/>
      <c r="K1881" s="284"/>
      <c r="L1881" s="284"/>
      <c r="M1881" s="284"/>
      <c r="N1881" s="284"/>
      <c r="O1881" s="284"/>
      <c r="P1881" s="284"/>
      <c r="Q1881" s="284"/>
      <c r="R1881" s="284"/>
      <c r="S1881" s="284"/>
      <c r="T1881" s="284"/>
      <c r="U1881" s="284"/>
      <c r="V1881" s="284"/>
      <c r="W1881" s="284"/>
    </row>
    <row r="1882" spans="2:23" x14ac:dyDescent="0.25">
      <c r="B1882" s="286">
        <v>26</v>
      </c>
      <c r="C1882" s="286">
        <v>55</v>
      </c>
      <c r="D1882" s="286">
        <v>26</v>
      </c>
      <c r="E1882" s="286">
        <v>55</v>
      </c>
      <c r="F1882" s="286">
        <f t="shared" ref="F1882:F1886" si="196">E1882-D1882+1</f>
        <v>30</v>
      </c>
      <c r="G1882" s="284">
        <v>2.5</v>
      </c>
      <c r="H1882" s="286"/>
      <c r="I1882" s="284"/>
      <c r="J1882" s="284"/>
      <c r="K1882" s="284"/>
      <c r="L1882" s="284"/>
      <c r="M1882" s="284"/>
      <c r="N1882" s="284"/>
      <c r="O1882" s="284"/>
      <c r="P1882" s="284"/>
      <c r="Q1882" s="284"/>
      <c r="R1882" s="284"/>
      <c r="S1882" s="284"/>
      <c r="T1882" s="284"/>
      <c r="U1882" s="284"/>
      <c r="V1882" s="284"/>
      <c r="W1882" s="284"/>
    </row>
    <row r="1883" spans="2:23" x14ac:dyDescent="0.25">
      <c r="B1883" s="286">
        <v>56</v>
      </c>
      <c r="C1883" s="286">
        <v>85</v>
      </c>
      <c r="D1883" s="286">
        <v>56</v>
      </c>
      <c r="E1883" s="286">
        <v>85</v>
      </c>
      <c r="F1883" s="286">
        <f t="shared" si="196"/>
        <v>30</v>
      </c>
      <c r="G1883" s="284">
        <v>3</v>
      </c>
      <c r="H1883" s="286"/>
      <c r="I1883" s="284"/>
      <c r="J1883" s="284"/>
      <c r="K1883" s="284"/>
      <c r="L1883" s="284"/>
      <c r="M1883" s="284"/>
      <c r="N1883" s="284"/>
      <c r="O1883" s="284"/>
      <c r="P1883" s="284"/>
      <c r="Q1883" s="284"/>
      <c r="R1883" s="284"/>
      <c r="S1883" s="284"/>
      <c r="T1883" s="284"/>
      <c r="U1883" s="284"/>
      <c r="V1883" s="284"/>
      <c r="W1883" s="284"/>
    </row>
    <row r="1884" spans="2:23" x14ac:dyDescent="0.25">
      <c r="B1884" s="286">
        <v>86</v>
      </c>
      <c r="C1884" s="286">
        <v>100</v>
      </c>
      <c r="D1884" s="286">
        <v>86</v>
      </c>
      <c r="E1884" s="286">
        <v>100</v>
      </c>
      <c r="F1884" s="286">
        <f t="shared" si="196"/>
        <v>15</v>
      </c>
      <c r="G1884" s="284">
        <v>3</v>
      </c>
      <c r="H1884" s="286"/>
      <c r="I1884" s="284"/>
      <c r="J1884" s="284"/>
      <c r="K1884" s="284"/>
      <c r="L1884" s="284"/>
      <c r="M1884" s="284"/>
      <c r="N1884" s="284"/>
      <c r="O1884" s="284"/>
      <c r="P1884" s="284"/>
      <c r="Q1884" s="284"/>
      <c r="R1884" s="284"/>
      <c r="S1884" s="284"/>
      <c r="T1884" s="284"/>
      <c r="U1884" s="284"/>
      <c r="V1884" s="284"/>
      <c r="W1884" s="284"/>
    </row>
    <row r="1885" spans="2:23" x14ac:dyDescent="0.25">
      <c r="B1885" s="286">
        <v>101</v>
      </c>
      <c r="C1885" s="286">
        <v>110</v>
      </c>
      <c r="D1885" s="286">
        <v>101</v>
      </c>
      <c r="E1885" s="286">
        <v>110</v>
      </c>
      <c r="F1885" s="286">
        <f t="shared" si="196"/>
        <v>10</v>
      </c>
      <c r="G1885" s="284">
        <v>3</v>
      </c>
      <c r="H1885" s="286"/>
      <c r="I1885" s="284"/>
      <c r="J1885" s="284"/>
      <c r="K1885" s="284"/>
      <c r="L1885" s="284"/>
      <c r="M1885" s="284"/>
      <c r="N1885" s="284"/>
      <c r="O1885" s="284"/>
      <c r="P1885" s="284"/>
      <c r="Q1885" s="284"/>
      <c r="R1885" s="284"/>
      <c r="S1885" s="284"/>
      <c r="T1885" s="284"/>
      <c r="U1885" s="284"/>
      <c r="V1885" s="284"/>
      <c r="W1885" s="284"/>
    </row>
    <row r="1886" spans="2:23" x14ac:dyDescent="0.25">
      <c r="B1886" s="286">
        <v>111</v>
      </c>
      <c r="C1886" s="286">
        <v>120</v>
      </c>
      <c r="D1886" s="286">
        <v>111</v>
      </c>
      <c r="E1886" s="286">
        <v>126</v>
      </c>
      <c r="F1886" s="286">
        <f t="shared" si="196"/>
        <v>16</v>
      </c>
      <c r="G1886" s="284">
        <v>3</v>
      </c>
      <c r="H1886" s="286"/>
      <c r="I1886" s="284"/>
      <c r="J1886" s="284"/>
      <c r="K1886" s="284"/>
      <c r="L1886" s="284"/>
      <c r="M1886" s="284"/>
      <c r="N1886" s="284"/>
      <c r="O1886" s="284"/>
      <c r="P1886" s="284"/>
      <c r="Q1886" s="284"/>
      <c r="R1886" s="284"/>
      <c r="S1886" s="284"/>
      <c r="T1886" s="284"/>
      <c r="U1886" s="284"/>
      <c r="V1886" s="284"/>
      <c r="W1886" s="284"/>
    </row>
    <row r="1887" spans="2:23" x14ac:dyDescent="0.25">
      <c r="B1887" s="284"/>
      <c r="C1887" s="284"/>
      <c r="D1887" s="284"/>
      <c r="E1887" s="284"/>
      <c r="F1887" s="284"/>
      <c r="G1887" s="284"/>
      <c r="H1887" s="284"/>
      <c r="I1887" s="284"/>
      <c r="J1887" s="284"/>
      <c r="K1887" s="284"/>
      <c r="L1887" s="284"/>
      <c r="M1887" s="284"/>
      <c r="N1887" s="284"/>
      <c r="O1887" s="284"/>
      <c r="P1887" s="284"/>
      <c r="Q1887" s="284"/>
      <c r="R1887" s="284"/>
      <c r="S1887" s="284"/>
      <c r="T1887" s="284"/>
      <c r="U1887" s="284"/>
      <c r="V1887" s="284"/>
      <c r="W1887" s="284"/>
    </row>
    <row r="1888" spans="2:23" x14ac:dyDescent="0.25">
      <c r="B1888" s="386" t="s">
        <v>343</v>
      </c>
      <c r="C1888" s="386"/>
      <c r="D1888" s="386"/>
      <c r="E1888" s="386"/>
      <c r="F1888" s="386"/>
      <c r="G1888" s="286"/>
      <c r="H1888" s="286"/>
      <c r="I1888" s="284"/>
      <c r="J1888" s="284"/>
      <c r="K1888" s="284"/>
      <c r="L1888" s="284"/>
      <c r="M1888" s="284"/>
      <c r="N1888" s="284"/>
      <c r="O1888" s="284"/>
      <c r="P1888" s="284"/>
      <c r="Q1888" s="284"/>
      <c r="R1888" s="284"/>
      <c r="S1888" s="284"/>
      <c r="T1888" s="284"/>
      <c r="U1888" s="284"/>
      <c r="V1888" s="284"/>
      <c r="W1888" s="284"/>
    </row>
    <row r="1889" spans="2:23" x14ac:dyDescent="0.25">
      <c r="B1889" s="386" t="s">
        <v>254</v>
      </c>
      <c r="C1889" s="386"/>
      <c r="D1889" s="386" t="s">
        <v>254</v>
      </c>
      <c r="E1889" s="386"/>
      <c r="F1889" s="192" t="s">
        <v>313</v>
      </c>
      <c r="G1889" s="286" t="s">
        <v>314</v>
      </c>
      <c r="H1889" s="286" t="s">
        <v>316</v>
      </c>
      <c r="I1889" s="284"/>
      <c r="J1889" s="284"/>
      <c r="K1889" s="284"/>
      <c r="L1889" s="284"/>
      <c r="M1889" s="284"/>
      <c r="N1889" s="284"/>
      <c r="O1889" s="284"/>
      <c r="P1889" s="284"/>
      <c r="Q1889" s="284"/>
      <c r="R1889" s="284"/>
      <c r="S1889" s="284"/>
      <c r="T1889" s="284"/>
      <c r="U1889" s="284"/>
      <c r="V1889" s="284"/>
      <c r="W1889" s="284"/>
    </row>
    <row r="1890" spans="2:23" x14ac:dyDescent="0.25">
      <c r="B1890" s="286">
        <v>0</v>
      </c>
      <c r="C1890" s="286">
        <v>10</v>
      </c>
      <c r="D1890" s="286"/>
      <c r="E1890" s="286"/>
      <c r="F1890" s="286">
        <v>0</v>
      </c>
      <c r="G1890" s="284">
        <v>1.5</v>
      </c>
      <c r="H1890" s="286">
        <f>(F1890*G1890+F1891*G1891+F1892*G1892+F1893*G1893+F1894*G1894+F1895*G1895+F1896*G1896)/100</f>
        <v>2.8849999999999998</v>
      </c>
      <c r="I1890" s="284"/>
      <c r="J1890" s="284"/>
      <c r="K1890" s="284"/>
      <c r="L1890" s="284"/>
      <c r="M1890" s="284"/>
      <c r="N1890" s="284"/>
      <c r="O1890" s="284"/>
      <c r="P1890" s="284"/>
      <c r="Q1890" s="284"/>
      <c r="R1890" s="284"/>
      <c r="S1890" s="284"/>
      <c r="T1890" s="284"/>
      <c r="U1890" s="284"/>
      <c r="V1890" s="284"/>
      <c r="W1890" s="284"/>
    </row>
    <row r="1891" spans="2:23" x14ac:dyDescent="0.25">
      <c r="B1891" s="286">
        <v>11</v>
      </c>
      <c r="C1891" s="286">
        <v>25</v>
      </c>
      <c r="D1891" s="286"/>
      <c r="E1891" s="286"/>
      <c r="F1891" s="286">
        <v>0</v>
      </c>
      <c r="G1891" s="284">
        <v>2</v>
      </c>
      <c r="H1891" s="286"/>
      <c r="I1891" s="284"/>
      <c r="J1891" s="284"/>
      <c r="K1891" s="284"/>
      <c r="L1891" s="284"/>
      <c r="M1891" s="284"/>
      <c r="N1891" s="284"/>
      <c r="O1891" s="284"/>
      <c r="P1891" s="284"/>
      <c r="Q1891" s="284"/>
      <c r="R1891" s="284"/>
      <c r="S1891" s="284"/>
      <c r="T1891" s="284"/>
      <c r="U1891" s="284"/>
      <c r="V1891" s="284"/>
      <c r="W1891" s="284"/>
    </row>
    <row r="1892" spans="2:23" x14ac:dyDescent="0.25">
      <c r="B1892" s="286">
        <v>26</v>
      </c>
      <c r="C1892" s="286">
        <v>55</v>
      </c>
      <c r="D1892" s="286">
        <v>27</v>
      </c>
      <c r="E1892" s="286">
        <v>55</v>
      </c>
      <c r="F1892" s="286">
        <f t="shared" ref="F1892:F1896" si="197">E1892-D1892+1</f>
        <v>29</v>
      </c>
      <c r="G1892" s="284">
        <v>2.5</v>
      </c>
      <c r="H1892" s="286"/>
      <c r="I1892" s="284"/>
      <c r="J1892" s="284"/>
      <c r="K1892" s="284"/>
      <c r="L1892" s="284"/>
      <c r="M1892" s="284"/>
      <c r="N1892" s="284"/>
      <c r="O1892" s="284"/>
      <c r="P1892" s="284"/>
      <c r="Q1892" s="284"/>
      <c r="R1892" s="284"/>
      <c r="S1892" s="284"/>
      <c r="T1892" s="284"/>
      <c r="U1892" s="284"/>
      <c r="V1892" s="284"/>
      <c r="W1892" s="284"/>
    </row>
    <row r="1893" spans="2:23" x14ac:dyDescent="0.25">
      <c r="B1893" s="286">
        <v>56</v>
      </c>
      <c r="C1893" s="286">
        <v>85</v>
      </c>
      <c r="D1893" s="286">
        <v>56</v>
      </c>
      <c r="E1893" s="286">
        <v>85</v>
      </c>
      <c r="F1893" s="286">
        <f t="shared" si="197"/>
        <v>30</v>
      </c>
      <c r="G1893" s="284">
        <v>3</v>
      </c>
      <c r="H1893" s="286"/>
      <c r="I1893" s="284"/>
      <c r="J1893" s="284"/>
      <c r="K1893" s="284"/>
      <c r="L1893" s="284"/>
      <c r="M1893" s="284"/>
      <c r="N1893" s="284"/>
      <c r="O1893" s="284"/>
      <c r="P1893" s="284"/>
      <c r="Q1893" s="284"/>
      <c r="R1893" s="284"/>
      <c r="S1893" s="284"/>
      <c r="T1893" s="284"/>
      <c r="U1893" s="284"/>
      <c r="V1893" s="284"/>
      <c r="W1893" s="284"/>
    </row>
    <row r="1894" spans="2:23" x14ac:dyDescent="0.25">
      <c r="B1894" s="286">
        <v>86</v>
      </c>
      <c r="C1894" s="286">
        <v>100</v>
      </c>
      <c r="D1894" s="286">
        <v>86</v>
      </c>
      <c r="E1894" s="286">
        <v>100</v>
      </c>
      <c r="F1894" s="286">
        <f t="shared" si="197"/>
        <v>15</v>
      </c>
      <c r="G1894" s="284">
        <v>3</v>
      </c>
      <c r="H1894" s="286"/>
      <c r="I1894" s="284"/>
      <c r="J1894" s="284"/>
      <c r="K1894" s="284"/>
      <c r="L1894" s="284"/>
      <c r="M1894" s="284"/>
      <c r="N1894" s="284"/>
      <c r="O1894" s="284"/>
      <c r="P1894" s="284"/>
      <c r="Q1894" s="284"/>
      <c r="R1894" s="284"/>
      <c r="S1894" s="284"/>
      <c r="T1894" s="284"/>
      <c r="U1894" s="284"/>
      <c r="V1894" s="284"/>
      <c r="W1894" s="284"/>
    </row>
    <row r="1895" spans="2:23" x14ac:dyDescent="0.25">
      <c r="B1895" s="286">
        <v>101</v>
      </c>
      <c r="C1895" s="286">
        <v>110</v>
      </c>
      <c r="D1895" s="286">
        <v>101</v>
      </c>
      <c r="E1895" s="286">
        <v>110</v>
      </c>
      <c r="F1895" s="286">
        <f t="shared" si="197"/>
        <v>10</v>
      </c>
      <c r="G1895" s="284">
        <v>3</v>
      </c>
      <c r="H1895" s="286"/>
      <c r="I1895" s="284"/>
      <c r="J1895" s="284"/>
      <c r="K1895" s="284"/>
      <c r="L1895" s="284"/>
      <c r="M1895" s="284"/>
      <c r="N1895" s="284"/>
      <c r="O1895" s="284"/>
      <c r="P1895" s="284"/>
      <c r="Q1895" s="284"/>
      <c r="R1895" s="284"/>
      <c r="S1895" s="284"/>
      <c r="T1895" s="284"/>
      <c r="U1895" s="284"/>
      <c r="V1895" s="284"/>
      <c r="W1895" s="284"/>
    </row>
    <row r="1896" spans="2:23" x14ac:dyDescent="0.25">
      <c r="B1896" s="286">
        <v>111</v>
      </c>
      <c r="C1896" s="286">
        <v>120</v>
      </c>
      <c r="D1896" s="286">
        <v>111</v>
      </c>
      <c r="E1896" s="286">
        <v>127</v>
      </c>
      <c r="F1896" s="286">
        <f t="shared" si="197"/>
        <v>17</v>
      </c>
      <c r="G1896" s="284">
        <v>3</v>
      </c>
      <c r="H1896" s="286"/>
      <c r="I1896" s="284"/>
      <c r="J1896" s="284"/>
      <c r="K1896" s="284"/>
      <c r="L1896" s="284"/>
      <c r="M1896" s="284"/>
      <c r="N1896" s="284"/>
      <c r="O1896" s="284"/>
      <c r="P1896" s="284"/>
      <c r="Q1896" s="284"/>
      <c r="R1896" s="284"/>
      <c r="S1896" s="284"/>
      <c r="T1896" s="284"/>
      <c r="U1896" s="284"/>
      <c r="V1896" s="284"/>
      <c r="W1896" s="284"/>
    </row>
    <row r="1897" spans="2:23" x14ac:dyDescent="0.25">
      <c r="B1897" s="284"/>
      <c r="C1897" s="284"/>
      <c r="D1897" s="284"/>
      <c r="E1897" s="284"/>
      <c r="F1897" s="284"/>
      <c r="G1897" s="284"/>
      <c r="H1897" s="284"/>
      <c r="I1897" s="284"/>
      <c r="J1897" s="284"/>
      <c r="K1897" s="284"/>
      <c r="L1897" s="284"/>
      <c r="M1897" s="284"/>
      <c r="N1897" s="284"/>
      <c r="O1897" s="284"/>
      <c r="P1897" s="284"/>
      <c r="Q1897" s="284"/>
      <c r="R1897" s="284"/>
      <c r="S1897" s="284"/>
      <c r="T1897" s="284"/>
      <c r="U1897" s="284"/>
      <c r="V1897" s="284"/>
      <c r="W1897" s="284"/>
    </row>
    <row r="1898" spans="2:23" x14ac:dyDescent="0.25">
      <c r="B1898" s="386" t="s">
        <v>344</v>
      </c>
      <c r="C1898" s="386"/>
      <c r="D1898" s="386"/>
      <c r="E1898" s="386"/>
      <c r="F1898" s="386"/>
      <c r="G1898" s="286"/>
      <c r="H1898" s="286"/>
      <c r="I1898" s="284"/>
      <c r="J1898" s="284"/>
      <c r="K1898" s="284"/>
      <c r="L1898" s="284"/>
      <c r="M1898" s="284"/>
      <c r="N1898" s="284"/>
      <c r="O1898" s="284"/>
      <c r="P1898" s="284"/>
      <c r="Q1898" s="284"/>
      <c r="R1898" s="284"/>
      <c r="S1898" s="284"/>
      <c r="T1898" s="284"/>
      <c r="U1898" s="284"/>
      <c r="V1898" s="284"/>
      <c r="W1898" s="284"/>
    </row>
    <row r="1899" spans="2:23" x14ac:dyDescent="0.25">
      <c r="B1899" s="386" t="s">
        <v>254</v>
      </c>
      <c r="C1899" s="386"/>
      <c r="D1899" s="386" t="s">
        <v>254</v>
      </c>
      <c r="E1899" s="386"/>
      <c r="F1899" s="192" t="s">
        <v>313</v>
      </c>
      <c r="G1899" s="286" t="s">
        <v>314</v>
      </c>
      <c r="H1899" s="286" t="s">
        <v>316</v>
      </c>
      <c r="I1899" s="284"/>
      <c r="J1899" s="284"/>
      <c r="K1899" s="284"/>
      <c r="L1899" s="284"/>
      <c r="M1899" s="284"/>
      <c r="N1899" s="284"/>
      <c r="O1899" s="284"/>
      <c r="P1899" s="284"/>
      <c r="Q1899" s="284"/>
      <c r="R1899" s="284"/>
      <c r="S1899" s="284"/>
      <c r="T1899" s="284"/>
      <c r="U1899" s="284"/>
      <c r="V1899" s="284"/>
      <c r="W1899" s="284"/>
    </row>
    <row r="1900" spans="2:23" x14ac:dyDescent="0.25">
      <c r="B1900" s="286">
        <v>0</v>
      </c>
      <c r="C1900" s="286">
        <v>10</v>
      </c>
      <c r="D1900" s="286"/>
      <c r="E1900" s="286"/>
      <c r="F1900" s="286">
        <v>0</v>
      </c>
      <c r="G1900" s="284">
        <v>1.5</v>
      </c>
      <c r="H1900" s="286">
        <f>(F1900*G1900+F1901*G1901+F1902*G1902+F1903*G1903+F1904*G1904+F1905*G1905+F1906*G1906)/100</f>
        <v>2.89</v>
      </c>
      <c r="I1900" s="284"/>
      <c r="J1900" s="284"/>
      <c r="K1900" s="284"/>
      <c r="L1900" s="284"/>
      <c r="M1900" s="284"/>
      <c r="N1900" s="284"/>
      <c r="O1900" s="284"/>
      <c r="P1900" s="284"/>
      <c r="Q1900" s="284"/>
      <c r="R1900" s="284"/>
      <c r="S1900" s="284"/>
      <c r="T1900" s="284"/>
      <c r="U1900" s="284"/>
      <c r="V1900" s="284"/>
      <c r="W1900" s="284"/>
    </row>
    <row r="1901" spans="2:23" x14ac:dyDescent="0.25">
      <c r="B1901" s="286">
        <v>11</v>
      </c>
      <c r="C1901" s="286">
        <v>25</v>
      </c>
      <c r="D1901" s="286"/>
      <c r="E1901" s="286"/>
      <c r="F1901" s="286">
        <v>0</v>
      </c>
      <c r="G1901" s="284">
        <v>2</v>
      </c>
      <c r="H1901" s="286"/>
      <c r="I1901" s="284"/>
      <c r="J1901" s="284"/>
      <c r="K1901" s="284"/>
      <c r="L1901" s="284"/>
      <c r="M1901" s="284"/>
      <c r="N1901" s="284"/>
      <c r="O1901" s="284"/>
      <c r="P1901" s="284"/>
      <c r="Q1901" s="284"/>
      <c r="R1901" s="284"/>
      <c r="S1901" s="284"/>
      <c r="T1901" s="284"/>
      <c r="U1901" s="284"/>
      <c r="V1901" s="284"/>
      <c r="W1901" s="284"/>
    </row>
    <row r="1902" spans="2:23" x14ac:dyDescent="0.25">
      <c r="B1902" s="286">
        <v>26</v>
      </c>
      <c r="C1902" s="286">
        <v>55</v>
      </c>
      <c r="D1902" s="286">
        <v>28</v>
      </c>
      <c r="E1902" s="286">
        <v>55</v>
      </c>
      <c r="F1902" s="286">
        <f t="shared" ref="F1902:F1906" si="198">E1902-D1902+1</f>
        <v>28</v>
      </c>
      <c r="G1902" s="284">
        <v>2.5</v>
      </c>
      <c r="H1902" s="286"/>
      <c r="I1902" s="284"/>
      <c r="J1902" s="284"/>
      <c r="K1902" s="284"/>
      <c r="L1902" s="284"/>
      <c r="M1902" s="284"/>
      <c r="N1902" s="284"/>
      <c r="O1902" s="284"/>
      <c r="P1902" s="284"/>
      <c r="Q1902" s="284"/>
      <c r="R1902" s="284"/>
      <c r="S1902" s="284"/>
      <c r="T1902" s="284"/>
      <c r="U1902" s="284"/>
      <c r="V1902" s="284"/>
      <c r="W1902" s="284"/>
    </row>
    <row r="1903" spans="2:23" x14ac:dyDescent="0.25">
      <c r="B1903" s="286">
        <v>56</v>
      </c>
      <c r="C1903" s="286">
        <v>85</v>
      </c>
      <c r="D1903" s="286">
        <v>56</v>
      </c>
      <c r="E1903" s="286">
        <v>85</v>
      </c>
      <c r="F1903" s="286">
        <f t="shared" si="198"/>
        <v>30</v>
      </c>
      <c r="G1903" s="284">
        <v>3</v>
      </c>
      <c r="H1903" s="286"/>
      <c r="I1903" s="284"/>
      <c r="J1903" s="284"/>
      <c r="K1903" s="284"/>
      <c r="L1903" s="284"/>
      <c r="M1903" s="284"/>
      <c r="N1903" s="284"/>
      <c r="O1903" s="284"/>
      <c r="P1903" s="284"/>
      <c r="Q1903" s="284"/>
      <c r="R1903" s="284"/>
      <c r="S1903" s="284"/>
      <c r="T1903" s="284"/>
      <c r="U1903" s="284"/>
      <c r="V1903" s="284"/>
      <c r="W1903" s="284"/>
    </row>
    <row r="1904" spans="2:23" x14ac:dyDescent="0.25">
      <c r="B1904" s="286">
        <v>86</v>
      </c>
      <c r="C1904" s="286">
        <v>100</v>
      </c>
      <c r="D1904" s="286">
        <v>86</v>
      </c>
      <c r="E1904" s="286">
        <v>100</v>
      </c>
      <c r="F1904" s="286">
        <f t="shared" si="198"/>
        <v>15</v>
      </c>
      <c r="G1904" s="284">
        <v>3</v>
      </c>
      <c r="H1904" s="286"/>
      <c r="I1904" s="284"/>
      <c r="J1904" s="284"/>
      <c r="K1904" s="284"/>
      <c r="L1904" s="284"/>
      <c r="M1904" s="284"/>
      <c r="N1904" s="284"/>
      <c r="O1904" s="284"/>
      <c r="P1904" s="284"/>
      <c r="Q1904" s="284"/>
      <c r="R1904" s="284"/>
      <c r="S1904" s="284"/>
      <c r="T1904" s="284"/>
      <c r="U1904" s="284"/>
      <c r="V1904" s="284"/>
      <c r="W1904" s="284"/>
    </row>
    <row r="1905" spans="2:23" x14ac:dyDescent="0.25">
      <c r="B1905" s="286">
        <v>101</v>
      </c>
      <c r="C1905" s="286">
        <v>110</v>
      </c>
      <c r="D1905" s="286">
        <v>101</v>
      </c>
      <c r="E1905" s="286">
        <v>110</v>
      </c>
      <c r="F1905" s="286">
        <f t="shared" si="198"/>
        <v>10</v>
      </c>
      <c r="G1905" s="284">
        <v>3</v>
      </c>
      <c r="H1905" s="286"/>
      <c r="I1905" s="284"/>
      <c r="J1905" s="284"/>
      <c r="K1905" s="284"/>
      <c r="L1905" s="284"/>
      <c r="M1905" s="284"/>
      <c r="N1905" s="284"/>
      <c r="O1905" s="284"/>
      <c r="P1905" s="284"/>
      <c r="Q1905" s="284"/>
      <c r="R1905" s="284"/>
      <c r="S1905" s="284"/>
      <c r="T1905" s="284"/>
      <c r="U1905" s="284"/>
      <c r="V1905" s="284"/>
      <c r="W1905" s="284"/>
    </row>
    <row r="1906" spans="2:23" x14ac:dyDescent="0.25">
      <c r="B1906" s="286">
        <v>111</v>
      </c>
      <c r="C1906" s="286">
        <v>120</v>
      </c>
      <c r="D1906" s="286">
        <v>111</v>
      </c>
      <c r="E1906" s="286">
        <v>128</v>
      </c>
      <c r="F1906" s="286">
        <f t="shared" si="198"/>
        <v>18</v>
      </c>
      <c r="G1906" s="284">
        <v>3</v>
      </c>
      <c r="H1906" s="286"/>
      <c r="I1906" s="284"/>
      <c r="J1906" s="284"/>
      <c r="K1906" s="284"/>
      <c r="L1906" s="284"/>
      <c r="M1906" s="284"/>
      <c r="N1906" s="284"/>
      <c r="O1906" s="284"/>
      <c r="P1906" s="284"/>
      <c r="Q1906" s="284"/>
      <c r="R1906" s="284"/>
      <c r="S1906" s="284"/>
      <c r="T1906" s="284"/>
      <c r="U1906" s="284"/>
      <c r="V1906" s="284"/>
      <c r="W1906" s="284"/>
    </row>
    <row r="1907" spans="2:23" x14ac:dyDescent="0.25">
      <c r="B1907" s="284"/>
      <c r="C1907" s="284"/>
      <c r="D1907" s="284"/>
      <c r="E1907" s="284"/>
      <c r="F1907" s="284"/>
      <c r="G1907" s="284"/>
      <c r="H1907" s="284"/>
      <c r="I1907" s="284"/>
      <c r="J1907" s="284"/>
      <c r="K1907" s="284"/>
      <c r="L1907" s="284"/>
      <c r="M1907" s="284"/>
      <c r="N1907" s="284"/>
      <c r="O1907" s="284"/>
      <c r="P1907" s="284"/>
      <c r="Q1907" s="284"/>
      <c r="R1907" s="284"/>
      <c r="S1907" s="284"/>
      <c r="T1907" s="284"/>
      <c r="U1907" s="284"/>
      <c r="V1907" s="284"/>
      <c r="W1907" s="284"/>
    </row>
    <row r="1908" spans="2:23" x14ac:dyDescent="0.25">
      <c r="B1908" s="386" t="s">
        <v>345</v>
      </c>
      <c r="C1908" s="386"/>
      <c r="D1908" s="386"/>
      <c r="E1908" s="386"/>
      <c r="F1908" s="386"/>
      <c r="G1908" s="286"/>
      <c r="H1908" s="286"/>
      <c r="I1908" s="284"/>
      <c r="J1908" s="284"/>
      <c r="K1908" s="284"/>
      <c r="L1908" s="284"/>
      <c r="M1908" s="284"/>
      <c r="N1908" s="284"/>
      <c r="O1908" s="284"/>
      <c r="P1908" s="284"/>
      <c r="Q1908" s="284"/>
      <c r="R1908" s="284"/>
      <c r="S1908" s="284"/>
      <c r="T1908" s="284"/>
      <c r="U1908" s="284"/>
      <c r="V1908" s="284"/>
      <c r="W1908" s="284"/>
    </row>
    <row r="1909" spans="2:23" x14ac:dyDescent="0.25">
      <c r="B1909" s="386" t="s">
        <v>254</v>
      </c>
      <c r="C1909" s="386"/>
      <c r="D1909" s="386" t="s">
        <v>254</v>
      </c>
      <c r="E1909" s="386"/>
      <c r="F1909" s="192" t="s">
        <v>313</v>
      </c>
      <c r="G1909" s="286" t="s">
        <v>314</v>
      </c>
      <c r="H1909" s="286" t="s">
        <v>316</v>
      </c>
      <c r="I1909" s="284"/>
      <c r="J1909" s="284"/>
      <c r="K1909" s="284"/>
      <c r="L1909" s="284"/>
      <c r="M1909" s="284"/>
      <c r="N1909" s="284"/>
      <c r="O1909" s="284"/>
      <c r="P1909" s="284"/>
      <c r="Q1909" s="284"/>
      <c r="R1909" s="284"/>
      <c r="S1909" s="284"/>
      <c r="T1909" s="284"/>
      <c r="U1909" s="284"/>
      <c r="V1909" s="284"/>
      <c r="W1909" s="284"/>
    </row>
    <row r="1910" spans="2:23" x14ac:dyDescent="0.25">
      <c r="B1910" s="286">
        <v>0</v>
      </c>
      <c r="C1910" s="286">
        <v>10</v>
      </c>
      <c r="D1910" s="286"/>
      <c r="E1910" s="286"/>
      <c r="F1910" s="286">
        <v>0</v>
      </c>
      <c r="G1910" s="284">
        <v>1.5</v>
      </c>
      <c r="H1910" s="286">
        <f>(F1910*G1910+F1911*G1911+F1912*G1912+F1913*G1913+F1914*G1914+F1915*G1915+F1916*G1916)/100</f>
        <v>2.895</v>
      </c>
      <c r="I1910" s="284"/>
      <c r="J1910" s="284"/>
      <c r="K1910" s="284"/>
      <c r="L1910" s="284"/>
      <c r="M1910" s="284"/>
      <c r="N1910" s="284"/>
      <c r="O1910" s="284"/>
      <c r="P1910" s="284"/>
      <c r="Q1910" s="284"/>
      <c r="R1910" s="284"/>
      <c r="S1910" s="284"/>
      <c r="T1910" s="284"/>
      <c r="U1910" s="284"/>
      <c r="V1910" s="284"/>
      <c r="W1910" s="284"/>
    </row>
    <row r="1911" spans="2:23" x14ac:dyDescent="0.25">
      <c r="B1911" s="286">
        <v>11</v>
      </c>
      <c r="C1911" s="286">
        <v>25</v>
      </c>
      <c r="D1911" s="286"/>
      <c r="E1911" s="286"/>
      <c r="F1911" s="286">
        <v>0</v>
      </c>
      <c r="G1911" s="284">
        <v>2</v>
      </c>
      <c r="H1911" s="286"/>
      <c r="I1911" s="284"/>
      <c r="J1911" s="284"/>
      <c r="K1911" s="284"/>
      <c r="L1911" s="284"/>
      <c r="M1911" s="284"/>
      <c r="N1911" s="284"/>
      <c r="O1911" s="284"/>
      <c r="P1911" s="284"/>
      <c r="Q1911" s="284"/>
      <c r="R1911" s="284"/>
      <c r="S1911" s="284"/>
      <c r="T1911" s="284"/>
      <c r="U1911" s="284"/>
      <c r="V1911" s="284"/>
      <c r="W1911" s="284"/>
    </row>
    <row r="1912" spans="2:23" x14ac:dyDescent="0.25">
      <c r="B1912" s="286">
        <v>26</v>
      </c>
      <c r="C1912" s="286">
        <v>55</v>
      </c>
      <c r="D1912" s="286">
        <v>29</v>
      </c>
      <c r="E1912" s="286">
        <v>55</v>
      </c>
      <c r="F1912" s="286">
        <f t="shared" ref="F1912:F1916" si="199">E1912-D1912+1</f>
        <v>27</v>
      </c>
      <c r="G1912" s="284">
        <v>2.5</v>
      </c>
      <c r="H1912" s="286"/>
      <c r="I1912" s="284"/>
      <c r="J1912" s="284"/>
      <c r="K1912" s="284"/>
      <c r="L1912" s="284"/>
      <c r="M1912" s="284"/>
      <c r="N1912" s="284"/>
      <c r="O1912" s="284"/>
      <c r="P1912" s="284"/>
      <c r="Q1912" s="284"/>
      <c r="R1912" s="284"/>
      <c r="S1912" s="284"/>
      <c r="T1912" s="284"/>
      <c r="U1912" s="284"/>
      <c r="V1912" s="284"/>
      <c r="W1912" s="284"/>
    </row>
    <row r="1913" spans="2:23" x14ac:dyDescent="0.25">
      <c r="B1913" s="286">
        <v>56</v>
      </c>
      <c r="C1913" s="286">
        <v>85</v>
      </c>
      <c r="D1913" s="286">
        <v>56</v>
      </c>
      <c r="E1913" s="286">
        <v>85</v>
      </c>
      <c r="F1913" s="286">
        <f t="shared" si="199"/>
        <v>30</v>
      </c>
      <c r="G1913" s="284">
        <v>3</v>
      </c>
      <c r="H1913" s="286"/>
      <c r="I1913" s="284"/>
      <c r="J1913" s="284"/>
      <c r="K1913" s="284"/>
      <c r="L1913" s="284"/>
      <c r="M1913" s="284"/>
      <c r="N1913" s="284"/>
      <c r="O1913" s="284"/>
      <c r="P1913" s="284"/>
      <c r="Q1913" s="284"/>
      <c r="R1913" s="284"/>
      <c r="S1913" s="284"/>
      <c r="T1913" s="284"/>
      <c r="U1913" s="284"/>
      <c r="V1913" s="284"/>
      <c r="W1913" s="284"/>
    </row>
    <row r="1914" spans="2:23" x14ac:dyDescent="0.25">
      <c r="B1914" s="286">
        <v>86</v>
      </c>
      <c r="C1914" s="286">
        <v>100</v>
      </c>
      <c r="D1914" s="286">
        <v>86</v>
      </c>
      <c r="E1914" s="286">
        <v>100</v>
      </c>
      <c r="F1914" s="286">
        <f t="shared" si="199"/>
        <v>15</v>
      </c>
      <c r="G1914" s="284">
        <v>3</v>
      </c>
      <c r="H1914" s="286"/>
      <c r="I1914" s="284"/>
      <c r="J1914" s="284"/>
      <c r="K1914" s="284"/>
      <c r="L1914" s="284"/>
      <c r="M1914" s="284"/>
      <c r="N1914" s="284"/>
      <c r="O1914" s="284"/>
      <c r="P1914" s="284"/>
      <c r="Q1914" s="284"/>
      <c r="R1914" s="284"/>
      <c r="S1914" s="284"/>
      <c r="T1914" s="284"/>
      <c r="U1914" s="284"/>
      <c r="V1914" s="284"/>
      <c r="W1914" s="284"/>
    </row>
    <row r="1915" spans="2:23" x14ac:dyDescent="0.25">
      <c r="B1915" s="286">
        <v>101</v>
      </c>
      <c r="C1915" s="286">
        <v>110</v>
      </c>
      <c r="D1915" s="286">
        <v>101</v>
      </c>
      <c r="E1915" s="286">
        <v>110</v>
      </c>
      <c r="F1915" s="286">
        <f t="shared" si="199"/>
        <v>10</v>
      </c>
      <c r="G1915" s="284">
        <v>3</v>
      </c>
      <c r="H1915" s="286"/>
      <c r="I1915" s="284"/>
      <c r="J1915" s="284"/>
      <c r="K1915" s="284"/>
      <c r="L1915" s="284"/>
      <c r="M1915" s="284"/>
      <c r="N1915" s="284"/>
      <c r="O1915" s="284"/>
      <c r="P1915" s="284"/>
      <c r="Q1915" s="284"/>
      <c r="R1915" s="284"/>
      <c r="S1915" s="284"/>
      <c r="T1915" s="284"/>
      <c r="U1915" s="284"/>
      <c r="V1915" s="284"/>
      <c r="W1915" s="284"/>
    </row>
    <row r="1916" spans="2:23" x14ac:dyDescent="0.25">
      <c r="B1916" s="286">
        <v>111</v>
      </c>
      <c r="C1916" s="286">
        <v>120</v>
      </c>
      <c r="D1916" s="286">
        <v>111</v>
      </c>
      <c r="E1916" s="286">
        <v>129</v>
      </c>
      <c r="F1916" s="286">
        <f t="shared" si="199"/>
        <v>19</v>
      </c>
      <c r="G1916" s="284">
        <v>3</v>
      </c>
      <c r="H1916" s="286"/>
      <c r="I1916" s="284"/>
      <c r="J1916" s="284"/>
      <c r="K1916" s="284"/>
      <c r="L1916" s="284"/>
      <c r="M1916" s="284"/>
      <c r="N1916" s="284"/>
      <c r="O1916" s="284"/>
      <c r="P1916" s="284"/>
      <c r="Q1916" s="284"/>
      <c r="R1916" s="284"/>
      <c r="S1916" s="284"/>
      <c r="T1916" s="284"/>
      <c r="U1916" s="284"/>
      <c r="V1916" s="284"/>
      <c r="W1916" s="284"/>
    </row>
    <row r="1917" spans="2:23" x14ac:dyDescent="0.25">
      <c r="B1917" s="284"/>
      <c r="C1917" s="284"/>
      <c r="D1917" s="284"/>
      <c r="E1917" s="284"/>
      <c r="F1917" s="284"/>
      <c r="G1917" s="284"/>
      <c r="H1917" s="284"/>
      <c r="I1917" s="284"/>
      <c r="J1917" s="284"/>
      <c r="K1917" s="284"/>
      <c r="L1917" s="284"/>
      <c r="M1917" s="284"/>
      <c r="N1917" s="284"/>
      <c r="O1917" s="284"/>
      <c r="P1917" s="284"/>
      <c r="Q1917" s="284"/>
      <c r="R1917" s="284"/>
      <c r="S1917" s="284"/>
      <c r="T1917" s="284"/>
      <c r="U1917" s="284"/>
      <c r="V1917" s="284"/>
      <c r="W1917" s="284"/>
    </row>
    <row r="1918" spans="2:23" x14ac:dyDescent="0.25">
      <c r="B1918" s="386" t="s">
        <v>346</v>
      </c>
      <c r="C1918" s="386"/>
      <c r="D1918" s="386"/>
      <c r="E1918" s="386"/>
      <c r="F1918" s="386"/>
      <c r="G1918" s="286"/>
      <c r="H1918" s="286"/>
      <c r="I1918" s="284"/>
      <c r="J1918" s="284"/>
      <c r="K1918" s="284"/>
      <c r="L1918" s="284"/>
      <c r="M1918" s="284"/>
      <c r="N1918" s="284"/>
      <c r="O1918" s="284"/>
      <c r="P1918" s="284"/>
      <c r="Q1918" s="284"/>
      <c r="R1918" s="284"/>
      <c r="S1918" s="284"/>
      <c r="T1918" s="284"/>
      <c r="U1918" s="284"/>
      <c r="V1918" s="284"/>
      <c r="W1918" s="284"/>
    </row>
    <row r="1919" spans="2:23" x14ac:dyDescent="0.25">
      <c r="B1919" s="386" t="s">
        <v>254</v>
      </c>
      <c r="C1919" s="386"/>
      <c r="D1919" s="386" t="s">
        <v>254</v>
      </c>
      <c r="E1919" s="386"/>
      <c r="F1919" s="192" t="s">
        <v>313</v>
      </c>
      <c r="G1919" s="286" t="s">
        <v>314</v>
      </c>
      <c r="H1919" s="286" t="s">
        <v>316</v>
      </c>
      <c r="I1919" s="284"/>
      <c r="J1919" s="284"/>
      <c r="K1919" s="284"/>
      <c r="L1919" s="284"/>
      <c r="M1919" s="284"/>
      <c r="N1919" s="284"/>
      <c r="O1919" s="284"/>
      <c r="P1919" s="284"/>
      <c r="Q1919" s="284"/>
      <c r="R1919" s="284"/>
      <c r="S1919" s="284"/>
      <c r="T1919" s="284"/>
      <c r="U1919" s="284"/>
      <c r="V1919" s="284"/>
      <c r="W1919" s="284"/>
    </row>
    <row r="1920" spans="2:23" x14ac:dyDescent="0.25">
      <c r="B1920" s="286">
        <v>0</v>
      </c>
      <c r="C1920" s="286">
        <v>10</v>
      </c>
      <c r="D1920" s="286"/>
      <c r="E1920" s="286"/>
      <c r="F1920" s="286">
        <v>0</v>
      </c>
      <c r="G1920" s="284">
        <v>1.5</v>
      </c>
      <c r="H1920" s="286">
        <f>(F1920*G1920+F1921*G1921+F1922*G1922+F1923*G1923+F1924*G1924+F1925*G1925+F1926*G1926)/100</f>
        <v>2.9</v>
      </c>
      <c r="I1920" s="284"/>
      <c r="J1920" s="284"/>
      <c r="K1920" s="284"/>
      <c r="L1920" s="284"/>
      <c r="M1920" s="284"/>
      <c r="N1920" s="284"/>
      <c r="O1920" s="284"/>
      <c r="P1920" s="284"/>
      <c r="Q1920" s="284"/>
      <c r="R1920" s="284"/>
      <c r="S1920" s="284"/>
      <c r="T1920" s="284"/>
      <c r="U1920" s="284"/>
      <c r="V1920" s="284"/>
      <c r="W1920" s="284"/>
    </row>
    <row r="1921" spans="2:23" x14ac:dyDescent="0.25">
      <c r="B1921" s="286">
        <v>11</v>
      </c>
      <c r="C1921" s="286">
        <v>25</v>
      </c>
      <c r="D1921" s="286"/>
      <c r="E1921" s="286"/>
      <c r="F1921" s="286">
        <v>0</v>
      </c>
      <c r="G1921" s="284">
        <v>2</v>
      </c>
      <c r="H1921" s="286"/>
      <c r="I1921" s="284"/>
      <c r="J1921" s="284"/>
      <c r="K1921" s="284"/>
      <c r="L1921" s="284"/>
      <c r="M1921" s="284"/>
      <c r="N1921" s="284"/>
      <c r="O1921" s="284"/>
      <c r="P1921" s="284"/>
      <c r="Q1921" s="284"/>
      <c r="R1921" s="284"/>
      <c r="S1921" s="284"/>
      <c r="T1921" s="284"/>
      <c r="U1921" s="284"/>
      <c r="V1921" s="284"/>
      <c r="W1921" s="284"/>
    </row>
    <row r="1922" spans="2:23" x14ac:dyDescent="0.25">
      <c r="B1922" s="286">
        <v>26</v>
      </c>
      <c r="C1922" s="286">
        <v>55</v>
      </c>
      <c r="D1922" s="286">
        <v>30</v>
      </c>
      <c r="E1922" s="286">
        <v>55</v>
      </c>
      <c r="F1922" s="286">
        <f t="shared" ref="F1922:F1926" si="200">E1922-D1922+1</f>
        <v>26</v>
      </c>
      <c r="G1922" s="284">
        <v>2.5</v>
      </c>
      <c r="H1922" s="286"/>
      <c r="I1922" s="284"/>
      <c r="J1922" s="284"/>
      <c r="K1922" s="284"/>
      <c r="L1922" s="284"/>
      <c r="M1922" s="284"/>
      <c r="N1922" s="284"/>
      <c r="O1922" s="284"/>
      <c r="P1922" s="284"/>
      <c r="Q1922" s="284"/>
      <c r="R1922" s="284"/>
      <c r="S1922" s="284"/>
      <c r="T1922" s="284"/>
      <c r="U1922" s="284"/>
      <c r="V1922" s="284"/>
      <c r="W1922" s="284"/>
    </row>
    <row r="1923" spans="2:23" x14ac:dyDescent="0.25">
      <c r="B1923" s="286">
        <v>56</v>
      </c>
      <c r="C1923" s="286">
        <v>85</v>
      </c>
      <c r="D1923" s="286">
        <v>56</v>
      </c>
      <c r="E1923" s="286">
        <v>85</v>
      </c>
      <c r="F1923" s="286">
        <f t="shared" si="200"/>
        <v>30</v>
      </c>
      <c r="G1923" s="284">
        <v>3</v>
      </c>
      <c r="H1923" s="286"/>
      <c r="I1923" s="284"/>
      <c r="J1923" s="284"/>
      <c r="K1923" s="284"/>
      <c r="L1923" s="284"/>
      <c r="M1923" s="284"/>
      <c r="N1923" s="284"/>
      <c r="O1923" s="284"/>
      <c r="P1923" s="284"/>
      <c r="Q1923" s="284"/>
      <c r="R1923" s="284"/>
      <c r="S1923" s="284"/>
      <c r="T1923" s="284"/>
      <c r="U1923" s="284"/>
      <c r="V1923" s="284"/>
      <c r="W1923" s="284"/>
    </row>
    <row r="1924" spans="2:23" x14ac:dyDescent="0.25">
      <c r="B1924" s="286">
        <v>86</v>
      </c>
      <c r="C1924" s="286">
        <v>100</v>
      </c>
      <c r="D1924" s="286">
        <v>86</v>
      </c>
      <c r="E1924" s="286">
        <v>100</v>
      </c>
      <c r="F1924" s="286">
        <f t="shared" si="200"/>
        <v>15</v>
      </c>
      <c r="G1924" s="284">
        <v>3</v>
      </c>
      <c r="H1924" s="286"/>
      <c r="I1924" s="284"/>
      <c r="J1924" s="284"/>
      <c r="K1924" s="284"/>
      <c r="L1924" s="284"/>
      <c r="M1924" s="284"/>
      <c r="N1924" s="284"/>
      <c r="O1924" s="284"/>
      <c r="P1924" s="284"/>
      <c r="Q1924" s="284"/>
      <c r="R1924" s="284"/>
      <c r="S1924" s="284"/>
      <c r="T1924" s="284"/>
      <c r="U1924" s="284"/>
      <c r="V1924" s="284"/>
      <c r="W1924" s="284"/>
    </row>
    <row r="1925" spans="2:23" x14ac:dyDescent="0.25">
      <c r="B1925" s="286">
        <v>101</v>
      </c>
      <c r="C1925" s="286">
        <v>110</v>
      </c>
      <c r="D1925" s="286">
        <v>101</v>
      </c>
      <c r="E1925" s="286">
        <v>110</v>
      </c>
      <c r="F1925" s="286">
        <f t="shared" si="200"/>
        <v>10</v>
      </c>
      <c r="G1925" s="284">
        <v>3</v>
      </c>
      <c r="H1925" s="286"/>
      <c r="I1925" s="284"/>
      <c r="J1925" s="284"/>
      <c r="K1925" s="284"/>
      <c r="L1925" s="284"/>
      <c r="M1925" s="284"/>
      <c r="N1925" s="284"/>
      <c r="O1925" s="284"/>
      <c r="P1925" s="284"/>
      <c r="Q1925" s="284"/>
      <c r="R1925" s="284"/>
      <c r="S1925" s="284"/>
      <c r="T1925" s="284"/>
      <c r="U1925" s="284"/>
      <c r="V1925" s="284"/>
      <c r="W1925" s="284"/>
    </row>
    <row r="1926" spans="2:23" x14ac:dyDescent="0.25">
      <c r="B1926" s="286">
        <v>111</v>
      </c>
      <c r="C1926" s="286">
        <v>120</v>
      </c>
      <c r="D1926" s="286">
        <v>111</v>
      </c>
      <c r="E1926" s="286">
        <v>130</v>
      </c>
      <c r="F1926" s="286">
        <f t="shared" si="200"/>
        <v>20</v>
      </c>
      <c r="G1926" s="284">
        <v>3</v>
      </c>
      <c r="H1926" s="286"/>
      <c r="I1926" s="284"/>
      <c r="J1926" s="284"/>
      <c r="K1926" s="284"/>
      <c r="L1926" s="284"/>
      <c r="M1926" s="284"/>
      <c r="N1926" s="284"/>
      <c r="O1926" s="284"/>
      <c r="P1926" s="284"/>
      <c r="Q1926" s="284"/>
      <c r="R1926" s="284"/>
      <c r="S1926" s="284"/>
      <c r="T1926" s="284"/>
      <c r="U1926" s="284"/>
      <c r="V1926" s="284"/>
      <c r="W1926" s="284"/>
    </row>
    <row r="1927" spans="2:23" x14ac:dyDescent="0.25">
      <c r="B1927" s="284"/>
      <c r="C1927" s="284"/>
      <c r="D1927" s="284"/>
      <c r="E1927" s="284"/>
      <c r="F1927" s="284"/>
      <c r="G1927" s="284"/>
      <c r="H1927" s="284"/>
      <c r="I1927" s="284"/>
      <c r="J1927" s="284"/>
      <c r="K1927" s="284"/>
      <c r="L1927" s="284"/>
      <c r="M1927" s="284"/>
      <c r="N1927" s="284"/>
      <c r="O1927" s="284"/>
      <c r="P1927" s="284"/>
      <c r="Q1927" s="284"/>
      <c r="R1927" s="284"/>
      <c r="S1927" s="284"/>
      <c r="T1927" s="284"/>
      <c r="U1927" s="284"/>
      <c r="V1927" s="284"/>
      <c r="W1927" s="284"/>
    </row>
    <row r="1928" spans="2:23" x14ac:dyDescent="0.25">
      <c r="B1928" s="386" t="s">
        <v>347</v>
      </c>
      <c r="C1928" s="386"/>
      <c r="D1928" s="386"/>
      <c r="E1928" s="386"/>
      <c r="F1928" s="386"/>
      <c r="G1928" s="286"/>
      <c r="H1928" s="286"/>
      <c r="I1928" s="284"/>
      <c r="J1928" s="284"/>
      <c r="K1928" s="284"/>
      <c r="L1928" s="284"/>
      <c r="M1928" s="284"/>
      <c r="N1928" s="284"/>
      <c r="O1928" s="284"/>
      <c r="P1928" s="284"/>
      <c r="Q1928" s="284"/>
      <c r="R1928" s="284"/>
      <c r="S1928" s="284"/>
      <c r="T1928" s="284"/>
      <c r="U1928" s="284"/>
      <c r="V1928" s="284"/>
      <c r="W1928" s="284"/>
    </row>
    <row r="1929" spans="2:23" x14ac:dyDescent="0.25">
      <c r="B1929" s="386" t="s">
        <v>254</v>
      </c>
      <c r="C1929" s="386"/>
      <c r="D1929" s="386" t="s">
        <v>254</v>
      </c>
      <c r="E1929" s="386"/>
      <c r="F1929" s="192" t="s">
        <v>313</v>
      </c>
      <c r="G1929" s="286" t="s">
        <v>314</v>
      </c>
      <c r="H1929" s="286" t="s">
        <v>316</v>
      </c>
      <c r="I1929" s="284"/>
      <c r="J1929" s="284"/>
      <c r="K1929" s="284"/>
      <c r="L1929" s="284"/>
      <c r="M1929" s="284"/>
      <c r="N1929" s="284"/>
      <c r="O1929" s="284"/>
      <c r="P1929" s="284"/>
      <c r="Q1929" s="284"/>
      <c r="R1929" s="284"/>
      <c r="S1929" s="284"/>
      <c r="T1929" s="284"/>
      <c r="U1929" s="284"/>
      <c r="V1929" s="284"/>
      <c r="W1929" s="284"/>
    </row>
    <row r="1930" spans="2:23" x14ac:dyDescent="0.25">
      <c r="B1930" s="286">
        <v>0</v>
      </c>
      <c r="C1930" s="286">
        <v>10</v>
      </c>
      <c r="D1930" s="286"/>
      <c r="E1930" s="286"/>
      <c r="F1930" s="286">
        <v>0</v>
      </c>
      <c r="G1930" s="284">
        <v>1.5</v>
      </c>
      <c r="H1930" s="286">
        <f>(F1930*G1930+F1931*G1931+F1932*G1932+F1933*G1933+F1934*G1934+F1935*G1935+F1936*G1936)/100</f>
        <v>2.9049999999999998</v>
      </c>
      <c r="I1930" s="284"/>
      <c r="J1930" s="284"/>
      <c r="K1930" s="284"/>
      <c r="L1930" s="284"/>
      <c r="M1930" s="284"/>
      <c r="N1930" s="284"/>
      <c r="O1930" s="284"/>
      <c r="P1930" s="284"/>
      <c r="Q1930" s="284"/>
      <c r="R1930" s="284"/>
      <c r="S1930" s="284"/>
      <c r="T1930" s="284"/>
      <c r="U1930" s="284"/>
      <c r="V1930" s="284"/>
      <c r="W1930" s="284"/>
    </row>
    <row r="1931" spans="2:23" x14ac:dyDescent="0.25">
      <c r="B1931" s="286">
        <v>11</v>
      </c>
      <c r="C1931" s="286">
        <v>25</v>
      </c>
      <c r="D1931" s="286"/>
      <c r="E1931" s="286"/>
      <c r="F1931" s="286">
        <v>0</v>
      </c>
      <c r="G1931" s="284">
        <v>2</v>
      </c>
      <c r="H1931" s="286"/>
      <c r="I1931" s="284"/>
      <c r="J1931" s="284"/>
      <c r="K1931" s="284"/>
      <c r="L1931" s="284"/>
      <c r="M1931" s="284"/>
      <c r="N1931" s="284"/>
      <c r="O1931" s="284"/>
      <c r="P1931" s="284"/>
      <c r="Q1931" s="284"/>
      <c r="R1931" s="284"/>
      <c r="S1931" s="284"/>
      <c r="T1931" s="284"/>
      <c r="U1931" s="284"/>
      <c r="V1931" s="284"/>
      <c r="W1931" s="284"/>
    </row>
    <row r="1932" spans="2:23" x14ac:dyDescent="0.25">
      <c r="B1932" s="286">
        <v>26</v>
      </c>
      <c r="C1932" s="286">
        <v>55</v>
      </c>
      <c r="D1932" s="286">
        <v>31</v>
      </c>
      <c r="E1932" s="286">
        <v>55</v>
      </c>
      <c r="F1932" s="286">
        <f t="shared" ref="F1932:F1936" si="201">E1932-D1932+1</f>
        <v>25</v>
      </c>
      <c r="G1932" s="284">
        <v>2.5</v>
      </c>
      <c r="H1932" s="286"/>
      <c r="I1932" s="284"/>
      <c r="J1932" s="284"/>
      <c r="K1932" s="284"/>
      <c r="L1932" s="284"/>
      <c r="M1932" s="284"/>
      <c r="N1932" s="284"/>
      <c r="O1932" s="284"/>
      <c r="P1932" s="284"/>
      <c r="Q1932" s="284"/>
      <c r="R1932" s="284"/>
      <c r="S1932" s="284"/>
      <c r="T1932" s="284"/>
      <c r="U1932" s="284"/>
      <c r="V1932" s="284"/>
      <c r="W1932" s="284"/>
    </row>
    <row r="1933" spans="2:23" x14ac:dyDescent="0.25">
      <c r="B1933" s="286">
        <v>56</v>
      </c>
      <c r="C1933" s="286">
        <v>85</v>
      </c>
      <c r="D1933" s="286">
        <v>56</v>
      </c>
      <c r="E1933" s="286">
        <v>85</v>
      </c>
      <c r="F1933" s="286">
        <f t="shared" si="201"/>
        <v>30</v>
      </c>
      <c r="G1933" s="284">
        <v>3</v>
      </c>
      <c r="H1933" s="286"/>
      <c r="I1933" s="284"/>
      <c r="J1933" s="284"/>
      <c r="K1933" s="284"/>
      <c r="L1933" s="284"/>
      <c r="M1933" s="284"/>
      <c r="N1933" s="284"/>
      <c r="O1933" s="284"/>
      <c r="P1933" s="284"/>
      <c r="Q1933" s="284"/>
      <c r="R1933" s="284"/>
      <c r="S1933" s="284"/>
      <c r="T1933" s="284"/>
      <c r="U1933" s="284"/>
      <c r="V1933" s="284"/>
      <c r="W1933" s="284"/>
    </row>
    <row r="1934" spans="2:23" x14ac:dyDescent="0.25">
      <c r="B1934" s="286">
        <v>86</v>
      </c>
      <c r="C1934" s="286">
        <v>100</v>
      </c>
      <c r="D1934" s="286">
        <v>86</v>
      </c>
      <c r="E1934" s="286">
        <v>100</v>
      </c>
      <c r="F1934" s="286">
        <f t="shared" si="201"/>
        <v>15</v>
      </c>
      <c r="G1934" s="284">
        <v>3</v>
      </c>
      <c r="H1934" s="286"/>
      <c r="I1934" s="284"/>
      <c r="J1934" s="284"/>
      <c r="K1934" s="284"/>
      <c r="L1934" s="284"/>
      <c r="M1934" s="284"/>
      <c r="N1934" s="284"/>
      <c r="O1934" s="284"/>
      <c r="P1934" s="284"/>
      <c r="Q1934" s="284"/>
      <c r="R1934" s="284"/>
      <c r="S1934" s="284"/>
      <c r="T1934" s="284"/>
      <c r="U1934" s="284"/>
      <c r="V1934" s="284"/>
      <c r="W1934" s="284"/>
    </row>
    <row r="1935" spans="2:23" x14ac:dyDescent="0.25">
      <c r="B1935" s="286">
        <v>101</v>
      </c>
      <c r="C1935" s="286">
        <v>110</v>
      </c>
      <c r="D1935" s="286">
        <v>101</v>
      </c>
      <c r="E1935" s="286">
        <v>110</v>
      </c>
      <c r="F1935" s="286">
        <f t="shared" si="201"/>
        <v>10</v>
      </c>
      <c r="G1935" s="284">
        <v>3</v>
      </c>
      <c r="H1935" s="286"/>
      <c r="I1935" s="284"/>
      <c r="J1935" s="284"/>
      <c r="K1935" s="284"/>
      <c r="L1935" s="284"/>
      <c r="M1935" s="284"/>
      <c r="N1935" s="284"/>
      <c r="O1935" s="284"/>
      <c r="P1935" s="284"/>
      <c r="Q1935" s="284"/>
      <c r="R1935" s="284"/>
      <c r="S1935" s="284"/>
      <c r="T1935" s="284"/>
      <c r="U1935" s="284"/>
      <c r="V1935" s="284"/>
      <c r="W1935" s="284"/>
    </row>
    <row r="1936" spans="2:23" x14ac:dyDescent="0.25">
      <c r="B1936" s="286">
        <v>111</v>
      </c>
      <c r="C1936" s="286">
        <v>120</v>
      </c>
      <c r="D1936" s="286">
        <v>111</v>
      </c>
      <c r="E1936" s="286">
        <v>131</v>
      </c>
      <c r="F1936" s="286">
        <f t="shared" si="201"/>
        <v>21</v>
      </c>
      <c r="G1936" s="284">
        <v>3</v>
      </c>
      <c r="H1936" s="286"/>
      <c r="I1936" s="284"/>
      <c r="J1936" s="284"/>
      <c r="K1936" s="284"/>
      <c r="L1936" s="284"/>
      <c r="M1936" s="284"/>
      <c r="N1936" s="284"/>
      <c r="O1936" s="284"/>
      <c r="P1936" s="284"/>
      <c r="Q1936" s="284"/>
      <c r="R1936" s="284"/>
      <c r="S1936" s="284"/>
      <c r="T1936" s="284"/>
      <c r="U1936" s="284"/>
      <c r="V1936" s="284"/>
      <c r="W1936" s="284"/>
    </row>
    <row r="1937" spans="2:23" x14ac:dyDescent="0.25">
      <c r="B1937" s="284"/>
      <c r="C1937" s="284"/>
      <c r="D1937" s="284"/>
      <c r="E1937" s="284"/>
      <c r="F1937" s="284"/>
      <c r="G1937" s="284"/>
      <c r="H1937" s="284"/>
      <c r="I1937" s="284"/>
      <c r="J1937" s="284"/>
      <c r="K1937" s="284"/>
      <c r="L1937" s="284"/>
      <c r="M1937" s="284"/>
      <c r="N1937" s="284"/>
      <c r="O1937" s="284"/>
      <c r="P1937" s="284"/>
      <c r="Q1937" s="284"/>
      <c r="R1937" s="284"/>
      <c r="S1937" s="284"/>
      <c r="T1937" s="284"/>
      <c r="U1937" s="284"/>
      <c r="V1937" s="284"/>
      <c r="W1937" s="284"/>
    </row>
    <row r="1938" spans="2:23" x14ac:dyDescent="0.25">
      <c r="B1938" s="284"/>
      <c r="C1938" s="284"/>
      <c r="D1938" s="284"/>
      <c r="E1938" s="284"/>
      <c r="F1938" s="284"/>
      <c r="G1938" s="284"/>
      <c r="H1938" s="284"/>
      <c r="I1938" s="284"/>
      <c r="J1938" s="284"/>
      <c r="K1938" s="284"/>
      <c r="L1938" s="284"/>
      <c r="M1938" s="284"/>
      <c r="N1938" s="284"/>
      <c r="O1938" s="284"/>
      <c r="P1938" s="284"/>
      <c r="Q1938" s="284"/>
      <c r="R1938" s="284"/>
      <c r="S1938" s="284"/>
      <c r="T1938" s="284"/>
      <c r="U1938" s="284"/>
      <c r="V1938" s="284"/>
      <c r="W1938" s="284"/>
    </row>
  </sheetData>
  <mergeCells count="622">
    <mergeCell ref="B1280:F1280"/>
    <mergeCell ref="B1281:C1281"/>
    <mergeCell ref="D1281:E1281"/>
    <mergeCell ref="B1290:F1290"/>
    <mergeCell ref="B1291:C1291"/>
    <mergeCell ref="D1291:E1291"/>
    <mergeCell ref="B1250:F1250"/>
    <mergeCell ref="B1251:C1251"/>
    <mergeCell ref="D1251:E1251"/>
    <mergeCell ref="B1260:F1260"/>
    <mergeCell ref="B1261:C1261"/>
    <mergeCell ref="D1261:E1261"/>
    <mergeCell ref="B1270:F1270"/>
    <mergeCell ref="B1271:C1271"/>
    <mergeCell ref="D1271:E1271"/>
    <mergeCell ref="B1220:F1220"/>
    <mergeCell ref="B1221:C1221"/>
    <mergeCell ref="D1221:E1221"/>
    <mergeCell ref="B1230:F1230"/>
    <mergeCell ref="B1231:C1231"/>
    <mergeCell ref="D1231:E1231"/>
    <mergeCell ref="B1240:F1240"/>
    <mergeCell ref="B1241:C1241"/>
    <mergeCell ref="D1241:E1241"/>
    <mergeCell ref="B1190:F1190"/>
    <mergeCell ref="B1191:C1191"/>
    <mergeCell ref="D1191:E1191"/>
    <mergeCell ref="B1200:F1200"/>
    <mergeCell ref="B1201:C1201"/>
    <mergeCell ref="D1201:E1201"/>
    <mergeCell ref="B1210:F1210"/>
    <mergeCell ref="B1211:C1211"/>
    <mergeCell ref="D1211:E1211"/>
    <mergeCell ref="B1160:F1160"/>
    <mergeCell ref="B1161:C1161"/>
    <mergeCell ref="D1161:E1161"/>
    <mergeCell ref="B1170:F1170"/>
    <mergeCell ref="B1171:C1171"/>
    <mergeCell ref="D1171:E1171"/>
    <mergeCell ref="B1180:F1180"/>
    <mergeCell ref="B1181:C1181"/>
    <mergeCell ref="D1181:E1181"/>
    <mergeCell ref="B1130:F1130"/>
    <mergeCell ref="B1131:C1131"/>
    <mergeCell ref="D1131:E1131"/>
    <mergeCell ref="B1140:F1140"/>
    <mergeCell ref="B1141:C1141"/>
    <mergeCell ref="D1141:E1141"/>
    <mergeCell ref="B1150:F1150"/>
    <mergeCell ref="B1151:C1151"/>
    <mergeCell ref="D1151:E1151"/>
    <mergeCell ref="B1100:F1100"/>
    <mergeCell ref="B1101:C1101"/>
    <mergeCell ref="D1101:E1101"/>
    <mergeCell ref="B1110:F1110"/>
    <mergeCell ref="B1111:C1111"/>
    <mergeCell ref="D1111:E1111"/>
    <mergeCell ref="B1120:F1120"/>
    <mergeCell ref="B1121:C1121"/>
    <mergeCell ref="D1121:E1121"/>
    <mergeCell ref="B1070:F1070"/>
    <mergeCell ref="B1071:C1071"/>
    <mergeCell ref="D1071:E1071"/>
    <mergeCell ref="B1080:F1080"/>
    <mergeCell ref="B1081:C1081"/>
    <mergeCell ref="D1081:E1081"/>
    <mergeCell ref="B1090:F1090"/>
    <mergeCell ref="B1091:C1091"/>
    <mergeCell ref="D1091:E1091"/>
    <mergeCell ref="B1040:F1040"/>
    <mergeCell ref="B1041:C1041"/>
    <mergeCell ref="D1041:E1041"/>
    <mergeCell ref="B1050:F1050"/>
    <mergeCell ref="B1051:C1051"/>
    <mergeCell ref="D1051:E1051"/>
    <mergeCell ref="B1060:F1060"/>
    <mergeCell ref="B1061:C1061"/>
    <mergeCell ref="D1061:E1061"/>
    <mergeCell ref="B1010:F1010"/>
    <mergeCell ref="B1011:C1011"/>
    <mergeCell ref="D1011:E1011"/>
    <mergeCell ref="B1020:F1020"/>
    <mergeCell ref="B1021:C1021"/>
    <mergeCell ref="D1021:E1021"/>
    <mergeCell ref="B1030:F1030"/>
    <mergeCell ref="B1031:C1031"/>
    <mergeCell ref="D1031:E1031"/>
    <mergeCell ref="AB36:AC36"/>
    <mergeCell ref="B989:F989"/>
    <mergeCell ref="K989:Q989"/>
    <mergeCell ref="R989:V989"/>
    <mergeCell ref="B990:C990"/>
    <mergeCell ref="D990:E990"/>
    <mergeCell ref="R990:S990"/>
    <mergeCell ref="B1000:F1000"/>
    <mergeCell ref="B1001:C1001"/>
    <mergeCell ref="D1001:E1001"/>
    <mergeCell ref="B963:F963"/>
    <mergeCell ref="B964:C964"/>
    <mergeCell ref="D964:E964"/>
    <mergeCell ref="B973:F973"/>
    <mergeCell ref="B974:C974"/>
    <mergeCell ref="D974:E974"/>
    <mergeCell ref="S36:T36"/>
    <mergeCell ref="V36:W36"/>
    <mergeCell ref="Y36:Z36"/>
    <mergeCell ref="B933:F933"/>
    <mergeCell ref="B934:C934"/>
    <mergeCell ref="D934:E934"/>
    <mergeCell ref="B943:F943"/>
    <mergeCell ref="B944:C944"/>
    <mergeCell ref="D944:E944"/>
    <mergeCell ref="B953:F953"/>
    <mergeCell ref="B954:C954"/>
    <mergeCell ref="D954:E954"/>
    <mergeCell ref="B903:F903"/>
    <mergeCell ref="B904:C904"/>
    <mergeCell ref="D904:E904"/>
    <mergeCell ref="B913:F913"/>
    <mergeCell ref="B914:C914"/>
    <mergeCell ref="D914:E914"/>
    <mergeCell ref="B923:F923"/>
    <mergeCell ref="B924:C924"/>
    <mergeCell ref="D924:E924"/>
    <mergeCell ref="B873:F873"/>
    <mergeCell ref="B874:C874"/>
    <mergeCell ref="D874:E874"/>
    <mergeCell ref="B883:F883"/>
    <mergeCell ref="B884:C884"/>
    <mergeCell ref="D884:E884"/>
    <mergeCell ref="B893:F893"/>
    <mergeCell ref="B894:C894"/>
    <mergeCell ref="D894:E894"/>
    <mergeCell ref="B843:F843"/>
    <mergeCell ref="B844:C844"/>
    <mergeCell ref="D844:E844"/>
    <mergeCell ref="B853:F853"/>
    <mergeCell ref="B854:C854"/>
    <mergeCell ref="D854:E854"/>
    <mergeCell ref="B863:F863"/>
    <mergeCell ref="B864:C864"/>
    <mergeCell ref="D864:E864"/>
    <mergeCell ref="B813:F813"/>
    <mergeCell ref="B814:C814"/>
    <mergeCell ref="D814:E814"/>
    <mergeCell ref="B823:F823"/>
    <mergeCell ref="B824:C824"/>
    <mergeCell ref="D824:E824"/>
    <mergeCell ref="B833:F833"/>
    <mergeCell ref="B834:C834"/>
    <mergeCell ref="D834:E834"/>
    <mergeCell ref="B783:F783"/>
    <mergeCell ref="B784:C784"/>
    <mergeCell ref="D784:E784"/>
    <mergeCell ref="B793:F793"/>
    <mergeCell ref="B794:C794"/>
    <mergeCell ref="D794:E794"/>
    <mergeCell ref="B803:F803"/>
    <mergeCell ref="B804:C804"/>
    <mergeCell ref="D804:E804"/>
    <mergeCell ref="B753:F753"/>
    <mergeCell ref="B754:C754"/>
    <mergeCell ref="D754:E754"/>
    <mergeCell ref="B763:F763"/>
    <mergeCell ref="B764:C764"/>
    <mergeCell ref="D764:E764"/>
    <mergeCell ref="B773:F773"/>
    <mergeCell ref="B774:C774"/>
    <mergeCell ref="D774:E774"/>
    <mergeCell ref="B723:F723"/>
    <mergeCell ref="B724:C724"/>
    <mergeCell ref="D724:E724"/>
    <mergeCell ref="B733:F733"/>
    <mergeCell ref="B734:C734"/>
    <mergeCell ref="D734:E734"/>
    <mergeCell ref="B743:F743"/>
    <mergeCell ref="B744:C744"/>
    <mergeCell ref="D744:E744"/>
    <mergeCell ref="B693:F693"/>
    <mergeCell ref="B694:C694"/>
    <mergeCell ref="D694:E694"/>
    <mergeCell ref="B703:F703"/>
    <mergeCell ref="B704:C704"/>
    <mergeCell ref="D704:E704"/>
    <mergeCell ref="B713:F713"/>
    <mergeCell ref="B714:C714"/>
    <mergeCell ref="D714:E714"/>
    <mergeCell ref="B672:F672"/>
    <mergeCell ref="K672:Q672"/>
    <mergeCell ref="R672:V672"/>
    <mergeCell ref="B673:C673"/>
    <mergeCell ref="D673:E673"/>
    <mergeCell ref="R673:S673"/>
    <mergeCell ref="B683:F683"/>
    <mergeCell ref="B684:C684"/>
    <mergeCell ref="D684:E684"/>
    <mergeCell ref="B334:C334"/>
    <mergeCell ref="D334:E334"/>
    <mergeCell ref="B303:F303"/>
    <mergeCell ref="B304:C304"/>
    <mergeCell ref="D304:E304"/>
    <mergeCell ref="B313:F313"/>
    <mergeCell ref="B314:C314"/>
    <mergeCell ref="D314:E314"/>
    <mergeCell ref="M36:N36"/>
    <mergeCell ref="B323:F323"/>
    <mergeCell ref="B324:C324"/>
    <mergeCell ref="D324:E324"/>
    <mergeCell ref="B333:F333"/>
    <mergeCell ref="B283:F283"/>
    <mergeCell ref="B284:C284"/>
    <mergeCell ref="D284:E284"/>
    <mergeCell ref="B293:F293"/>
    <mergeCell ref="B294:C294"/>
    <mergeCell ref="D294:E294"/>
    <mergeCell ref="B263:F263"/>
    <mergeCell ref="B264:C264"/>
    <mergeCell ref="D264:E264"/>
    <mergeCell ref="B273:F273"/>
    <mergeCell ref="B274:C274"/>
    <mergeCell ref="B233:F233"/>
    <mergeCell ref="B234:C234"/>
    <mergeCell ref="D234:E234"/>
    <mergeCell ref="D274:E274"/>
    <mergeCell ref="B243:F243"/>
    <mergeCell ref="B244:C244"/>
    <mergeCell ref="D244:E244"/>
    <mergeCell ref="B253:F253"/>
    <mergeCell ref="B254:C254"/>
    <mergeCell ref="D254:E254"/>
    <mergeCell ref="B203:F203"/>
    <mergeCell ref="B204:C204"/>
    <mergeCell ref="D204:E204"/>
    <mergeCell ref="B213:F213"/>
    <mergeCell ref="B214:C214"/>
    <mergeCell ref="D214:E214"/>
    <mergeCell ref="B223:F223"/>
    <mergeCell ref="B224:C224"/>
    <mergeCell ref="D224:E224"/>
    <mergeCell ref="B173:F173"/>
    <mergeCell ref="B174:C174"/>
    <mergeCell ref="D174:E174"/>
    <mergeCell ref="B183:F183"/>
    <mergeCell ref="B184:C184"/>
    <mergeCell ref="D184:E184"/>
    <mergeCell ref="B193:F193"/>
    <mergeCell ref="B194:C194"/>
    <mergeCell ref="D194:E194"/>
    <mergeCell ref="B143:F143"/>
    <mergeCell ref="B144:C144"/>
    <mergeCell ref="D144:E144"/>
    <mergeCell ref="B153:F153"/>
    <mergeCell ref="B154:C154"/>
    <mergeCell ref="D154:E154"/>
    <mergeCell ref="B163:F163"/>
    <mergeCell ref="B164:C164"/>
    <mergeCell ref="D164:E164"/>
    <mergeCell ref="B113:F113"/>
    <mergeCell ref="B114:C114"/>
    <mergeCell ref="D114:E114"/>
    <mergeCell ref="B123:F123"/>
    <mergeCell ref="B124:C124"/>
    <mergeCell ref="D124:E124"/>
    <mergeCell ref="B133:F133"/>
    <mergeCell ref="B134:C134"/>
    <mergeCell ref="D134:E134"/>
    <mergeCell ref="B3:H3"/>
    <mergeCell ref="B16:L16"/>
    <mergeCell ref="B26:G26"/>
    <mergeCell ref="I4:J4"/>
    <mergeCell ref="I3:M3"/>
    <mergeCell ref="J103:N103"/>
    <mergeCell ref="J104:K104"/>
    <mergeCell ref="B53:F53"/>
    <mergeCell ref="B54:C54"/>
    <mergeCell ref="D54:E54"/>
    <mergeCell ref="B32:F32"/>
    <mergeCell ref="B33:C33"/>
    <mergeCell ref="D33:E33"/>
    <mergeCell ref="B43:F43"/>
    <mergeCell ref="B44:C44"/>
    <mergeCell ref="D44:E44"/>
    <mergeCell ref="J102:N102"/>
    <mergeCell ref="B104:C104"/>
    <mergeCell ref="D104:E104"/>
    <mergeCell ref="P36:Q36"/>
    <mergeCell ref="B351:F351"/>
    <mergeCell ref="B352:C352"/>
    <mergeCell ref="D352:E352"/>
    <mergeCell ref="K351:Q351"/>
    <mergeCell ref="R351:V351"/>
    <mergeCell ref="R352:S352"/>
    <mergeCell ref="J118:N118"/>
    <mergeCell ref="J119:K119"/>
    <mergeCell ref="J124:N124"/>
    <mergeCell ref="J125:K125"/>
    <mergeCell ref="B63:F63"/>
    <mergeCell ref="B64:C64"/>
    <mergeCell ref="D64:E64"/>
    <mergeCell ref="B73:F73"/>
    <mergeCell ref="B74:C74"/>
    <mergeCell ref="D74:E74"/>
    <mergeCell ref="B83:F83"/>
    <mergeCell ref="B84:C84"/>
    <mergeCell ref="D84:E84"/>
    <mergeCell ref="B93:F93"/>
    <mergeCell ref="B94:C94"/>
    <mergeCell ref="D94:E94"/>
    <mergeCell ref="B103:F103"/>
    <mergeCell ref="B382:F382"/>
    <mergeCell ref="B383:C383"/>
    <mergeCell ref="D383:E383"/>
    <mergeCell ref="B392:F392"/>
    <mergeCell ref="B393:C393"/>
    <mergeCell ref="D393:E393"/>
    <mergeCell ref="B362:F362"/>
    <mergeCell ref="B363:C363"/>
    <mergeCell ref="D363:E363"/>
    <mergeCell ref="B372:F372"/>
    <mergeCell ref="B373:C373"/>
    <mergeCell ref="D373:E373"/>
    <mergeCell ref="B422:F422"/>
    <mergeCell ref="B423:C423"/>
    <mergeCell ref="D423:E423"/>
    <mergeCell ref="B432:F432"/>
    <mergeCell ref="B433:C433"/>
    <mergeCell ref="D433:E433"/>
    <mergeCell ref="B402:F402"/>
    <mergeCell ref="B403:C403"/>
    <mergeCell ref="D403:E403"/>
    <mergeCell ref="B412:F412"/>
    <mergeCell ref="B413:C413"/>
    <mergeCell ref="D413:E413"/>
    <mergeCell ref="B462:F462"/>
    <mergeCell ref="B463:C463"/>
    <mergeCell ref="D463:E463"/>
    <mergeCell ref="B472:F472"/>
    <mergeCell ref="B473:C473"/>
    <mergeCell ref="D473:E473"/>
    <mergeCell ref="B442:F442"/>
    <mergeCell ref="B443:C443"/>
    <mergeCell ref="D443:E443"/>
    <mergeCell ref="B452:F452"/>
    <mergeCell ref="B453:C453"/>
    <mergeCell ref="D453:E453"/>
    <mergeCell ref="B502:F502"/>
    <mergeCell ref="B503:C503"/>
    <mergeCell ref="D503:E503"/>
    <mergeCell ref="B512:F512"/>
    <mergeCell ref="B513:C513"/>
    <mergeCell ref="D513:E513"/>
    <mergeCell ref="B482:F482"/>
    <mergeCell ref="B483:C483"/>
    <mergeCell ref="D483:E483"/>
    <mergeCell ref="B492:F492"/>
    <mergeCell ref="B493:C493"/>
    <mergeCell ref="D493:E493"/>
    <mergeCell ref="B542:F542"/>
    <mergeCell ref="B543:C543"/>
    <mergeCell ref="D543:E543"/>
    <mergeCell ref="B552:F552"/>
    <mergeCell ref="B553:C553"/>
    <mergeCell ref="D553:E553"/>
    <mergeCell ref="B522:F522"/>
    <mergeCell ref="B523:C523"/>
    <mergeCell ref="D523:E523"/>
    <mergeCell ref="B532:F532"/>
    <mergeCell ref="B533:C533"/>
    <mergeCell ref="D533:E533"/>
    <mergeCell ref="D583:E583"/>
    <mergeCell ref="B592:F592"/>
    <mergeCell ref="B593:C593"/>
    <mergeCell ref="D593:E593"/>
    <mergeCell ref="B562:F562"/>
    <mergeCell ref="B563:C563"/>
    <mergeCell ref="D563:E563"/>
    <mergeCell ref="B572:F572"/>
    <mergeCell ref="B573:C573"/>
    <mergeCell ref="D573:E573"/>
    <mergeCell ref="J108:N108"/>
    <mergeCell ref="J109:K109"/>
    <mergeCell ref="J113:N113"/>
    <mergeCell ref="J114:K114"/>
    <mergeCell ref="B642:F642"/>
    <mergeCell ref="B643:C643"/>
    <mergeCell ref="D643:E643"/>
    <mergeCell ref="B652:F652"/>
    <mergeCell ref="B653:C653"/>
    <mergeCell ref="D653:E653"/>
    <mergeCell ref="B622:F622"/>
    <mergeCell ref="B623:C623"/>
    <mergeCell ref="D623:E623"/>
    <mergeCell ref="B632:F632"/>
    <mergeCell ref="B633:C633"/>
    <mergeCell ref="D633:E633"/>
    <mergeCell ref="B602:F602"/>
    <mergeCell ref="B603:C603"/>
    <mergeCell ref="D603:E603"/>
    <mergeCell ref="B612:F612"/>
    <mergeCell ref="B613:C613"/>
    <mergeCell ref="D613:E613"/>
    <mergeCell ref="B582:F582"/>
    <mergeCell ref="B583:C583"/>
    <mergeCell ref="B1307:F1307"/>
    <mergeCell ref="K1307:Q1307"/>
    <mergeCell ref="R1307:V1307"/>
    <mergeCell ref="B1308:C1308"/>
    <mergeCell ref="D1308:E1308"/>
    <mergeCell ref="R1308:S1308"/>
    <mergeCell ref="B1318:F1318"/>
    <mergeCell ref="B1319:C1319"/>
    <mergeCell ref="D1319:E1319"/>
    <mergeCell ref="B1328:F1328"/>
    <mergeCell ref="B1329:C1329"/>
    <mergeCell ref="D1329:E1329"/>
    <mergeCell ref="B1338:F1338"/>
    <mergeCell ref="B1339:C1339"/>
    <mergeCell ref="D1339:E1339"/>
    <mergeCell ref="B1348:F1348"/>
    <mergeCell ref="B1349:C1349"/>
    <mergeCell ref="D1349:E1349"/>
    <mergeCell ref="B1358:F1358"/>
    <mergeCell ref="B1359:C1359"/>
    <mergeCell ref="D1359:E1359"/>
    <mergeCell ref="B1368:F1368"/>
    <mergeCell ref="B1369:C1369"/>
    <mergeCell ref="D1369:E1369"/>
    <mergeCell ref="B1378:F1378"/>
    <mergeCell ref="B1379:C1379"/>
    <mergeCell ref="D1379:E1379"/>
    <mergeCell ref="B1388:F1388"/>
    <mergeCell ref="B1389:C1389"/>
    <mergeCell ref="D1389:E1389"/>
    <mergeCell ref="B1398:F1398"/>
    <mergeCell ref="B1399:C1399"/>
    <mergeCell ref="D1399:E1399"/>
    <mergeCell ref="B1408:F1408"/>
    <mergeCell ref="B1409:C1409"/>
    <mergeCell ref="D1409:E1409"/>
    <mergeCell ref="B1418:F1418"/>
    <mergeCell ref="B1419:C1419"/>
    <mergeCell ref="D1419:E1419"/>
    <mergeCell ref="B1428:F1428"/>
    <mergeCell ref="B1429:C1429"/>
    <mergeCell ref="D1429:E1429"/>
    <mergeCell ref="B1438:F1438"/>
    <mergeCell ref="B1439:C1439"/>
    <mergeCell ref="D1439:E1439"/>
    <mergeCell ref="B1448:F1448"/>
    <mergeCell ref="B1449:C1449"/>
    <mergeCell ref="D1449:E1449"/>
    <mergeCell ref="B1458:F1458"/>
    <mergeCell ref="B1459:C1459"/>
    <mergeCell ref="D1459:E1459"/>
    <mergeCell ref="B1468:F1468"/>
    <mergeCell ref="B1469:C1469"/>
    <mergeCell ref="D1469:E1469"/>
    <mergeCell ref="B1478:F1478"/>
    <mergeCell ref="B1479:C1479"/>
    <mergeCell ref="D1479:E1479"/>
    <mergeCell ref="B1488:F1488"/>
    <mergeCell ref="B1489:C1489"/>
    <mergeCell ref="D1489:E1489"/>
    <mergeCell ref="B1498:F1498"/>
    <mergeCell ref="B1499:C1499"/>
    <mergeCell ref="D1499:E1499"/>
    <mergeCell ref="B1508:F1508"/>
    <mergeCell ref="B1509:C1509"/>
    <mergeCell ref="D1509:E1509"/>
    <mergeCell ref="B1518:F1518"/>
    <mergeCell ref="B1519:C1519"/>
    <mergeCell ref="D1519:E1519"/>
    <mergeCell ref="B1528:F1528"/>
    <mergeCell ref="B1529:C1529"/>
    <mergeCell ref="D1529:E1529"/>
    <mergeCell ref="B1538:F1538"/>
    <mergeCell ref="B1539:C1539"/>
    <mergeCell ref="D1539:E1539"/>
    <mergeCell ref="B1548:F1548"/>
    <mergeCell ref="B1549:C1549"/>
    <mergeCell ref="D1549:E1549"/>
    <mergeCell ref="B1558:F1558"/>
    <mergeCell ref="B1559:C1559"/>
    <mergeCell ref="D1559:E1559"/>
    <mergeCell ref="B1568:F1568"/>
    <mergeCell ref="B1569:C1569"/>
    <mergeCell ref="D1569:E1569"/>
    <mergeCell ref="B1578:F1578"/>
    <mergeCell ref="B1579:C1579"/>
    <mergeCell ref="D1579:E1579"/>
    <mergeCell ref="B1588:F1588"/>
    <mergeCell ref="B1589:C1589"/>
    <mergeCell ref="D1589:E1589"/>
    <mergeCell ref="B1598:F1598"/>
    <mergeCell ref="B1599:C1599"/>
    <mergeCell ref="D1599:E1599"/>
    <mergeCell ref="B1608:F1608"/>
    <mergeCell ref="B1609:C1609"/>
    <mergeCell ref="D1609:E1609"/>
    <mergeCell ref="B1627:F1627"/>
    <mergeCell ref="K1627:Q1627"/>
    <mergeCell ref="R1627:V1627"/>
    <mergeCell ref="B1628:C1628"/>
    <mergeCell ref="D1628:E1628"/>
    <mergeCell ref="R1628:S1628"/>
    <mergeCell ref="B1638:F1638"/>
    <mergeCell ref="B1639:C1639"/>
    <mergeCell ref="D1639:E1639"/>
    <mergeCell ref="B1648:F1648"/>
    <mergeCell ref="B1649:C1649"/>
    <mergeCell ref="D1649:E1649"/>
    <mergeCell ref="B1658:F1658"/>
    <mergeCell ref="B1659:C1659"/>
    <mergeCell ref="D1659:E1659"/>
    <mergeCell ref="B1668:F1668"/>
    <mergeCell ref="B1669:C1669"/>
    <mergeCell ref="D1669:E1669"/>
    <mergeCell ref="B1678:F1678"/>
    <mergeCell ref="B1679:C1679"/>
    <mergeCell ref="D1679:E1679"/>
    <mergeCell ref="B1688:F1688"/>
    <mergeCell ref="B1689:C1689"/>
    <mergeCell ref="D1689:E1689"/>
    <mergeCell ref="B1698:F1698"/>
    <mergeCell ref="B1699:C1699"/>
    <mergeCell ref="D1699:E1699"/>
    <mergeCell ref="B1708:F1708"/>
    <mergeCell ref="B1709:C1709"/>
    <mergeCell ref="D1709:E1709"/>
    <mergeCell ref="B1718:F1718"/>
    <mergeCell ref="B1719:C1719"/>
    <mergeCell ref="D1719:E1719"/>
    <mergeCell ref="B1728:F1728"/>
    <mergeCell ref="B1729:C1729"/>
    <mergeCell ref="D1729:E1729"/>
    <mergeCell ref="B1738:F1738"/>
    <mergeCell ref="B1739:C1739"/>
    <mergeCell ref="D1739:E1739"/>
    <mergeCell ref="B1748:F1748"/>
    <mergeCell ref="B1749:C1749"/>
    <mergeCell ref="D1749:E1749"/>
    <mergeCell ref="B1758:F1758"/>
    <mergeCell ref="B1759:C1759"/>
    <mergeCell ref="D1759:E1759"/>
    <mergeCell ref="B1768:F1768"/>
    <mergeCell ref="B1769:C1769"/>
    <mergeCell ref="D1769:E1769"/>
    <mergeCell ref="B1778:F1778"/>
    <mergeCell ref="B1779:C1779"/>
    <mergeCell ref="D1779:E1779"/>
    <mergeCell ref="B1788:F1788"/>
    <mergeCell ref="B1789:C1789"/>
    <mergeCell ref="D1789:E1789"/>
    <mergeCell ref="B1798:F1798"/>
    <mergeCell ref="B1799:C1799"/>
    <mergeCell ref="D1799:E1799"/>
    <mergeCell ref="B1818:F1818"/>
    <mergeCell ref="B1819:C1819"/>
    <mergeCell ref="D1819:E1819"/>
    <mergeCell ref="B1918:F1918"/>
    <mergeCell ref="B1919:C1919"/>
    <mergeCell ref="D1919:E1919"/>
    <mergeCell ref="B1868:F1868"/>
    <mergeCell ref="B1869:C1869"/>
    <mergeCell ref="D1869:E1869"/>
    <mergeCell ref="B1878:F1878"/>
    <mergeCell ref="B1879:C1879"/>
    <mergeCell ref="D1879:E1879"/>
    <mergeCell ref="B1888:F1888"/>
    <mergeCell ref="B1889:C1889"/>
    <mergeCell ref="D1889:E1889"/>
    <mergeCell ref="B1828:F1828"/>
    <mergeCell ref="B1829:C1829"/>
    <mergeCell ref="D1829:E1829"/>
    <mergeCell ref="B1929:C1929"/>
    <mergeCell ref="D1929:E1929"/>
    <mergeCell ref="V124:Z124"/>
    <mergeCell ref="V125:Z125"/>
    <mergeCell ref="V126:W126"/>
    <mergeCell ref="V130:Z130"/>
    <mergeCell ref="V131:W131"/>
    <mergeCell ref="V135:Z135"/>
    <mergeCell ref="V136:W136"/>
    <mergeCell ref="V140:Z140"/>
    <mergeCell ref="V141:W141"/>
    <mergeCell ref="V146:Z146"/>
    <mergeCell ref="V147:W147"/>
    <mergeCell ref="V154:Z154"/>
    <mergeCell ref="V155:Z155"/>
    <mergeCell ref="V156:W156"/>
    <mergeCell ref="V161:Z161"/>
    <mergeCell ref="V162:W162"/>
    <mergeCell ref="V167:Z167"/>
    <mergeCell ref="V168:W168"/>
    <mergeCell ref="V173:Z173"/>
    <mergeCell ref="B1898:F1898"/>
    <mergeCell ref="B1899:C1899"/>
    <mergeCell ref="D1899:E1899"/>
    <mergeCell ref="V211:Z211"/>
    <mergeCell ref="V212:Z212"/>
    <mergeCell ref="V213:W213"/>
    <mergeCell ref="V174:W174"/>
    <mergeCell ref="V175:W175"/>
    <mergeCell ref="V190:Z190"/>
    <mergeCell ref="V191:Z191"/>
    <mergeCell ref="V192:W192"/>
    <mergeCell ref="B1928:F1928"/>
    <mergeCell ref="B1908:F1908"/>
    <mergeCell ref="B1909:C1909"/>
    <mergeCell ref="D1909:E1909"/>
    <mergeCell ref="B1838:F1838"/>
    <mergeCell ref="B1839:C1839"/>
    <mergeCell ref="D1839:E1839"/>
    <mergeCell ref="B1848:F1848"/>
    <mergeCell ref="B1849:C1849"/>
    <mergeCell ref="D1849:E1849"/>
    <mergeCell ref="B1858:F1858"/>
    <mergeCell ref="B1859:C1859"/>
    <mergeCell ref="D1859:E1859"/>
    <mergeCell ref="B1808:F1808"/>
    <mergeCell ref="B1809:C1809"/>
    <mergeCell ref="D1809:E1809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9"/>
  <sheetViews>
    <sheetView topLeftCell="B1" workbookViewId="0">
      <selection activeCell="B3" sqref="B3"/>
    </sheetView>
  </sheetViews>
  <sheetFormatPr defaultRowHeight="15" x14ac:dyDescent="0.25"/>
  <cols>
    <col min="2" max="2" width="26.7109375" bestFit="1" customWidth="1"/>
    <col min="3" max="3" width="7.140625" bestFit="1" customWidth="1"/>
    <col min="4" max="4" width="9.5703125" customWidth="1"/>
    <col min="5" max="5" width="12.7109375" bestFit="1" customWidth="1"/>
    <col min="6" max="7" width="16.28515625" bestFit="1" customWidth="1"/>
    <col min="8" max="8" width="21" bestFit="1" customWidth="1"/>
    <col min="9" max="9" width="20.85546875" bestFit="1" customWidth="1"/>
    <col min="10" max="10" width="21.7109375" bestFit="1" customWidth="1"/>
    <col min="12" max="12" width="10.140625" bestFit="1" customWidth="1"/>
  </cols>
  <sheetData>
    <row r="3" spans="2:12" ht="15.75" thickBot="1" x14ac:dyDescent="0.3">
      <c r="C3" s="394" t="s">
        <v>381</v>
      </c>
      <c r="D3" s="394"/>
      <c r="E3" s="394"/>
      <c r="F3" s="394"/>
    </row>
    <row r="4" spans="2:12" x14ac:dyDescent="0.25">
      <c r="B4" s="245" t="s">
        <v>375</v>
      </c>
      <c r="C4" s="241" t="s">
        <v>53</v>
      </c>
      <c r="D4" s="241" t="s">
        <v>54</v>
      </c>
      <c r="E4" s="241" t="s">
        <v>380</v>
      </c>
      <c r="F4" s="241" t="s">
        <v>56</v>
      </c>
      <c r="G4" s="241" t="s">
        <v>57</v>
      </c>
      <c r="H4" s="241" t="s">
        <v>58</v>
      </c>
      <c r="I4" s="241" t="s">
        <v>379</v>
      </c>
      <c r="J4" s="241" t="s">
        <v>378</v>
      </c>
      <c r="K4" s="241" t="s">
        <v>60</v>
      </c>
      <c r="L4" s="242" t="s">
        <v>61</v>
      </c>
    </row>
    <row r="5" spans="2:12" x14ac:dyDescent="0.25">
      <c r="B5" s="243" t="s">
        <v>377</v>
      </c>
      <c r="C5" s="250">
        <v>105.29</v>
      </c>
      <c r="D5" s="250">
        <v>115.82</v>
      </c>
      <c r="E5" s="250">
        <v>83.78</v>
      </c>
      <c r="F5" s="250">
        <v>155.56</v>
      </c>
      <c r="G5" s="250">
        <v>90.48</v>
      </c>
      <c r="H5" s="250">
        <v>148.79</v>
      </c>
      <c r="I5" s="250">
        <v>126.67</v>
      </c>
      <c r="J5" s="250">
        <v>228.01</v>
      </c>
      <c r="K5" s="250">
        <v>249.33</v>
      </c>
      <c r="L5" s="251">
        <v>223.94</v>
      </c>
    </row>
    <row r="6" spans="2:12" x14ac:dyDescent="0.25">
      <c r="B6" s="243" t="s">
        <v>376</v>
      </c>
      <c r="C6" s="250">
        <v>105.29</v>
      </c>
      <c r="D6" s="250">
        <v>114.66</v>
      </c>
      <c r="E6" s="250">
        <v>83.78</v>
      </c>
      <c r="F6" s="250">
        <v>155.56</v>
      </c>
      <c r="G6" s="250">
        <v>90.48</v>
      </c>
      <c r="H6" s="250">
        <v>148.79</v>
      </c>
      <c r="I6" s="250">
        <v>126.67</v>
      </c>
      <c r="J6" s="250">
        <v>167.21</v>
      </c>
      <c r="K6" s="250">
        <v>249.33</v>
      </c>
      <c r="L6" s="251">
        <v>223.94</v>
      </c>
    </row>
    <row r="7" spans="2:12" x14ac:dyDescent="0.25">
      <c r="B7" s="243" t="s">
        <v>149</v>
      </c>
      <c r="C7" s="250">
        <v>105.29</v>
      </c>
      <c r="D7" s="250">
        <v>85.7</v>
      </c>
      <c r="E7" s="250">
        <v>78.75</v>
      </c>
      <c r="F7" s="250">
        <v>155.56</v>
      </c>
      <c r="G7" s="250">
        <v>89.58</v>
      </c>
      <c r="H7" s="250">
        <v>132.41999999999999</v>
      </c>
      <c r="I7" s="250">
        <v>119.07</v>
      </c>
      <c r="J7" s="250">
        <v>72.2</v>
      </c>
      <c r="K7" s="250">
        <v>221.9</v>
      </c>
      <c r="L7" s="251">
        <v>176.91</v>
      </c>
    </row>
    <row r="8" spans="2:12" x14ac:dyDescent="0.25">
      <c r="B8" s="243" t="s">
        <v>150</v>
      </c>
      <c r="C8" s="250">
        <v>105.29</v>
      </c>
      <c r="D8" s="250">
        <v>79.91</v>
      </c>
      <c r="E8" s="250">
        <v>74.56</v>
      </c>
      <c r="F8" s="250">
        <v>155.56</v>
      </c>
      <c r="G8" s="250">
        <v>89.58</v>
      </c>
      <c r="H8" s="250">
        <v>124.99</v>
      </c>
      <c r="I8" s="250">
        <v>112.74</v>
      </c>
      <c r="J8" s="250">
        <v>53.2</v>
      </c>
      <c r="K8" s="250">
        <v>209.43</v>
      </c>
      <c r="L8" s="251">
        <v>165.72</v>
      </c>
    </row>
    <row r="9" spans="2:12" x14ac:dyDescent="0.25">
      <c r="B9" s="243" t="s">
        <v>151</v>
      </c>
      <c r="C9" s="250">
        <v>104.74</v>
      </c>
      <c r="D9" s="250">
        <v>73.25</v>
      </c>
      <c r="E9" s="250">
        <v>74.56</v>
      </c>
      <c r="F9" s="250">
        <v>154.51</v>
      </c>
      <c r="G9" s="250">
        <v>85.05</v>
      </c>
      <c r="H9" s="250">
        <v>118.23</v>
      </c>
      <c r="I9" s="250">
        <v>112.7</v>
      </c>
      <c r="J9" s="250">
        <v>45.32</v>
      </c>
      <c r="K9" s="250">
        <v>195.92</v>
      </c>
      <c r="L9" s="251">
        <v>165.7</v>
      </c>
    </row>
    <row r="10" spans="2:12" x14ac:dyDescent="0.25">
      <c r="B10" s="243" t="s">
        <v>152</v>
      </c>
      <c r="C10" s="250">
        <v>103.75</v>
      </c>
      <c r="D10" s="250">
        <v>69.91</v>
      </c>
      <c r="E10" s="250">
        <v>68.599999999999994</v>
      </c>
      <c r="F10" s="250">
        <v>153.51</v>
      </c>
      <c r="G10" s="250">
        <v>80.53</v>
      </c>
      <c r="H10" s="250">
        <v>114.85</v>
      </c>
      <c r="I10" s="250">
        <v>104.39</v>
      </c>
      <c r="J10" s="250">
        <v>41.38</v>
      </c>
      <c r="K10" s="250">
        <v>189.17</v>
      </c>
      <c r="L10" s="251">
        <v>155.66999999999999</v>
      </c>
    </row>
    <row r="11" spans="2:12" x14ac:dyDescent="0.25">
      <c r="B11" s="243" t="s">
        <v>153</v>
      </c>
      <c r="C11" s="250">
        <v>100.27</v>
      </c>
      <c r="D11" s="250">
        <v>66.59</v>
      </c>
      <c r="E11" s="250">
        <v>68.599999999999994</v>
      </c>
      <c r="F11" s="250">
        <v>150.54</v>
      </c>
      <c r="G11" s="250">
        <v>75.16</v>
      </c>
      <c r="H11" s="250">
        <v>111.47</v>
      </c>
      <c r="I11" s="250">
        <v>104.4</v>
      </c>
      <c r="J11" s="250">
        <v>37.44</v>
      </c>
      <c r="K11" s="250">
        <v>182.41</v>
      </c>
      <c r="L11" s="251">
        <v>155.66999999999999</v>
      </c>
    </row>
    <row r="12" spans="2:12" x14ac:dyDescent="0.25">
      <c r="B12" s="243" t="s">
        <v>154</v>
      </c>
      <c r="C12" s="250">
        <v>100.27</v>
      </c>
      <c r="D12" s="250">
        <v>61.77</v>
      </c>
      <c r="E12" s="250">
        <v>64.739999999999995</v>
      </c>
      <c r="F12" s="250">
        <v>150.54</v>
      </c>
      <c r="G12" s="250">
        <v>69.89</v>
      </c>
      <c r="H12" s="250">
        <v>104.84</v>
      </c>
      <c r="I12" s="250">
        <v>98.52</v>
      </c>
      <c r="J12" s="250">
        <v>24.07</v>
      </c>
      <c r="K12" s="250">
        <v>171.55</v>
      </c>
      <c r="L12" s="251">
        <v>145.15</v>
      </c>
    </row>
    <row r="13" spans="2:12" x14ac:dyDescent="0.25">
      <c r="B13" s="243" t="s">
        <v>382</v>
      </c>
      <c r="C13" s="250">
        <v>100.27</v>
      </c>
      <c r="D13" s="250">
        <v>42.47</v>
      </c>
      <c r="E13" s="250">
        <v>49.33</v>
      </c>
      <c r="F13" s="250">
        <v>150.54</v>
      </c>
      <c r="G13" s="250">
        <v>69.89</v>
      </c>
      <c r="H13" s="250">
        <v>78.3</v>
      </c>
      <c r="I13" s="250">
        <v>75.069999999999993</v>
      </c>
      <c r="J13" s="250">
        <v>0</v>
      </c>
      <c r="K13" s="250">
        <v>128.12</v>
      </c>
      <c r="L13" s="251">
        <v>103.08</v>
      </c>
    </row>
    <row r="14" spans="2:12" x14ac:dyDescent="0.25">
      <c r="B14" s="243" t="s">
        <v>155</v>
      </c>
      <c r="C14" s="250">
        <v>101.27</v>
      </c>
      <c r="D14" s="250">
        <v>71.42</v>
      </c>
      <c r="E14" s="250">
        <v>72.45</v>
      </c>
      <c r="F14" s="250">
        <v>151.54</v>
      </c>
      <c r="G14" s="250">
        <v>84.11</v>
      </c>
      <c r="H14" s="250">
        <v>118.11</v>
      </c>
      <c r="I14" s="250">
        <v>110.25</v>
      </c>
      <c r="J14" s="250">
        <v>50.81</v>
      </c>
      <c r="K14" s="250">
        <v>193.27</v>
      </c>
      <c r="L14" s="251">
        <v>166.19</v>
      </c>
    </row>
    <row r="15" spans="2:12" x14ac:dyDescent="0.25">
      <c r="B15" s="243" t="s">
        <v>156</v>
      </c>
      <c r="C15" s="250">
        <v>98.2</v>
      </c>
      <c r="D15" s="250">
        <v>54.1</v>
      </c>
      <c r="E15" s="250">
        <v>60.89</v>
      </c>
      <c r="F15" s="250">
        <v>145.44999999999999</v>
      </c>
      <c r="G15" s="250">
        <v>65.47</v>
      </c>
      <c r="H15" s="250">
        <v>95.23</v>
      </c>
      <c r="I15" s="250">
        <v>92.66</v>
      </c>
      <c r="J15" s="250">
        <v>9.57</v>
      </c>
      <c r="K15" s="250">
        <v>154.74</v>
      </c>
      <c r="L15" s="251">
        <v>134.63999999999999</v>
      </c>
    </row>
    <row r="16" spans="2:12" x14ac:dyDescent="0.25">
      <c r="B16" s="243" t="s">
        <v>157</v>
      </c>
      <c r="C16" s="250">
        <v>94.74</v>
      </c>
      <c r="D16" s="250">
        <v>51.25</v>
      </c>
      <c r="E16" s="250">
        <v>55.6</v>
      </c>
      <c r="F16" s="250">
        <v>139.47999999999999</v>
      </c>
      <c r="G16" s="250">
        <v>60.35</v>
      </c>
      <c r="H16" s="250">
        <v>92.25</v>
      </c>
      <c r="I16" s="250">
        <v>85.25</v>
      </c>
      <c r="J16" s="250">
        <v>8.44</v>
      </c>
      <c r="K16" s="250">
        <v>148.79</v>
      </c>
      <c r="L16" s="251">
        <v>125.95</v>
      </c>
    </row>
    <row r="17" spans="2:12" x14ac:dyDescent="0.25">
      <c r="B17" s="243" t="s">
        <v>383</v>
      </c>
      <c r="C17" s="250">
        <v>94.74</v>
      </c>
      <c r="D17" s="250">
        <v>33.880000000000003</v>
      </c>
      <c r="E17" s="250">
        <v>41.52</v>
      </c>
      <c r="F17" s="250">
        <v>139.47999999999999</v>
      </c>
      <c r="G17" s="250">
        <v>60.35</v>
      </c>
      <c r="H17" s="250">
        <v>67.319999999999993</v>
      </c>
      <c r="I17" s="250">
        <v>63.67</v>
      </c>
      <c r="J17" s="250">
        <v>0</v>
      </c>
      <c r="K17" s="250">
        <v>108.58</v>
      </c>
      <c r="L17" s="251">
        <v>86.59</v>
      </c>
    </row>
    <row r="18" spans="2:12" x14ac:dyDescent="0.25">
      <c r="B18" s="243" t="s">
        <v>158</v>
      </c>
      <c r="C18" s="250">
        <v>103.75</v>
      </c>
      <c r="D18" s="250">
        <v>74.989999999999995</v>
      </c>
      <c r="E18" s="250">
        <v>72.45</v>
      </c>
      <c r="F18" s="250">
        <v>153.51</v>
      </c>
      <c r="G18" s="250">
        <v>80.53</v>
      </c>
      <c r="H18" s="250">
        <v>121.69</v>
      </c>
      <c r="I18" s="250">
        <v>110.25</v>
      </c>
      <c r="J18" s="250">
        <v>56.16</v>
      </c>
      <c r="K18" s="250">
        <v>200.43</v>
      </c>
      <c r="L18" s="251">
        <v>166.19</v>
      </c>
    </row>
    <row r="19" spans="2:12" x14ac:dyDescent="0.25">
      <c r="B19" s="243" t="s">
        <v>164</v>
      </c>
      <c r="C19" s="250">
        <v>85.71</v>
      </c>
      <c r="D19" s="250">
        <v>45.55</v>
      </c>
      <c r="E19" s="250">
        <v>55.6</v>
      </c>
      <c r="F19" s="250">
        <v>122.91</v>
      </c>
      <c r="G19" s="250">
        <v>65.47</v>
      </c>
      <c r="H19" s="250">
        <v>86.3</v>
      </c>
      <c r="I19" s="250">
        <v>85.25</v>
      </c>
      <c r="J19" s="250">
        <v>6.19</v>
      </c>
      <c r="K19" s="250">
        <v>136.88999999999999</v>
      </c>
      <c r="L19" s="251">
        <v>125.95</v>
      </c>
    </row>
    <row r="20" spans="2:12" x14ac:dyDescent="0.25">
      <c r="B20" s="243" t="s">
        <v>165</v>
      </c>
      <c r="C20" s="250">
        <v>91.38</v>
      </c>
      <c r="D20" s="250">
        <v>51.25</v>
      </c>
      <c r="E20" s="250">
        <v>55.6</v>
      </c>
      <c r="F20" s="250">
        <v>133.6</v>
      </c>
      <c r="G20" s="250">
        <v>60.35</v>
      </c>
      <c r="H20" s="250">
        <v>92.25</v>
      </c>
      <c r="I20" s="250">
        <v>85.25</v>
      </c>
      <c r="J20" s="250">
        <v>8.44</v>
      </c>
      <c r="K20" s="250">
        <v>148.79</v>
      </c>
      <c r="L20" s="251">
        <v>125.95</v>
      </c>
    </row>
    <row r="21" spans="2:12" x14ac:dyDescent="0.25">
      <c r="B21" s="243" t="s">
        <v>166</v>
      </c>
      <c r="C21" s="250">
        <v>85.71</v>
      </c>
      <c r="D21" s="250">
        <v>45.55</v>
      </c>
      <c r="E21" s="250">
        <v>55.6</v>
      </c>
      <c r="F21" s="250">
        <v>122.91</v>
      </c>
      <c r="G21" s="250">
        <v>65.47</v>
      </c>
      <c r="H21" s="250">
        <v>86.3</v>
      </c>
      <c r="I21" s="250">
        <v>85.25</v>
      </c>
      <c r="J21" s="250">
        <v>6.19</v>
      </c>
      <c r="K21" s="250">
        <v>136.88999999999999</v>
      </c>
      <c r="L21" s="251">
        <v>125.95</v>
      </c>
    </row>
    <row r="22" spans="2:12" x14ac:dyDescent="0.25">
      <c r="B22" s="243" t="s">
        <v>384</v>
      </c>
      <c r="C22" s="250">
        <v>85.71</v>
      </c>
      <c r="D22" s="250">
        <v>30.11</v>
      </c>
      <c r="E22" s="250">
        <v>41.52</v>
      </c>
      <c r="F22" s="250">
        <v>122.91</v>
      </c>
      <c r="G22" s="250">
        <v>65.47</v>
      </c>
      <c r="H22" s="250">
        <v>62.98</v>
      </c>
      <c r="I22" s="250">
        <v>53.67</v>
      </c>
      <c r="J22" s="250">
        <v>0</v>
      </c>
      <c r="K22" s="250">
        <v>99.89</v>
      </c>
      <c r="L22" s="251">
        <v>86.59</v>
      </c>
    </row>
    <row r="23" spans="2:12" x14ac:dyDescent="0.25">
      <c r="B23" s="243" t="s">
        <v>167</v>
      </c>
      <c r="C23" s="250">
        <v>98.2</v>
      </c>
      <c r="D23" s="250">
        <v>54.1</v>
      </c>
      <c r="E23" s="250">
        <v>60.89</v>
      </c>
      <c r="F23" s="250">
        <v>145.44999999999999</v>
      </c>
      <c r="G23" s="250">
        <v>65.47</v>
      </c>
      <c r="H23" s="250">
        <v>95.23</v>
      </c>
      <c r="I23" s="250">
        <v>92.66</v>
      </c>
      <c r="J23" s="250">
        <v>9.57</v>
      </c>
      <c r="K23" s="250">
        <v>154.74</v>
      </c>
      <c r="L23" s="251">
        <v>134.63999999999999</v>
      </c>
    </row>
    <row r="24" spans="2:12" x14ac:dyDescent="0.25">
      <c r="B24" s="243" t="s">
        <v>170</v>
      </c>
      <c r="C24" s="250">
        <v>74.430000000000007</v>
      </c>
      <c r="D24" s="250">
        <v>54.1</v>
      </c>
      <c r="E24" s="250">
        <v>60.89</v>
      </c>
      <c r="F24" s="250">
        <v>101.57</v>
      </c>
      <c r="G24" s="250">
        <v>47.23</v>
      </c>
      <c r="H24" s="250">
        <v>95.23</v>
      </c>
      <c r="I24" s="250">
        <v>92.66</v>
      </c>
      <c r="J24" s="250">
        <v>9.57</v>
      </c>
      <c r="K24" s="250">
        <v>154.74</v>
      </c>
      <c r="L24" s="251">
        <v>134.63999999999999</v>
      </c>
    </row>
    <row r="25" spans="2:12" x14ac:dyDescent="0.25">
      <c r="B25" s="243" t="s">
        <v>172</v>
      </c>
      <c r="C25" s="250">
        <v>77.67</v>
      </c>
      <c r="D25" s="250">
        <v>34.17</v>
      </c>
      <c r="E25" s="250">
        <v>45.01</v>
      </c>
      <c r="F25" s="250">
        <v>109.84</v>
      </c>
      <c r="G25" s="250">
        <v>54.05</v>
      </c>
      <c r="H25" s="250">
        <v>74.400000000000006</v>
      </c>
      <c r="I25" s="250">
        <v>70.42</v>
      </c>
      <c r="J25" s="250">
        <v>1.69</v>
      </c>
      <c r="K25" s="250">
        <v>113.08</v>
      </c>
      <c r="L25" s="251">
        <v>108.58</v>
      </c>
    </row>
    <row r="26" spans="2:12" x14ac:dyDescent="0.25">
      <c r="B26" s="243" t="s">
        <v>174</v>
      </c>
      <c r="C26" s="250">
        <v>72.260000000000005</v>
      </c>
      <c r="D26" s="250">
        <v>26.01</v>
      </c>
      <c r="E26" s="250">
        <v>39.31</v>
      </c>
      <c r="F26" s="250">
        <v>99.4</v>
      </c>
      <c r="G26" s="250">
        <v>45.6</v>
      </c>
      <c r="H26" s="250">
        <v>61.77</v>
      </c>
      <c r="I26" s="250">
        <v>61.51</v>
      </c>
      <c r="J26" s="250">
        <v>0</v>
      </c>
      <c r="K26" s="250">
        <v>92.65</v>
      </c>
      <c r="L26" s="251">
        <v>91.61</v>
      </c>
    </row>
    <row r="27" spans="2:12" x14ac:dyDescent="0.25">
      <c r="B27" s="243" t="s">
        <v>175</v>
      </c>
      <c r="C27" s="250">
        <v>71.17</v>
      </c>
      <c r="D27" s="250">
        <v>19.11</v>
      </c>
      <c r="E27" s="250">
        <v>32.17</v>
      </c>
      <c r="F27" s="250">
        <v>98.32</v>
      </c>
      <c r="G27" s="250">
        <v>41.38</v>
      </c>
      <c r="H27" s="250">
        <v>53.2</v>
      </c>
      <c r="I27" s="250">
        <v>51.04</v>
      </c>
      <c r="J27" s="250">
        <v>0</v>
      </c>
      <c r="K27" s="250">
        <v>75.92</v>
      </c>
      <c r="L27" s="251">
        <v>76.48</v>
      </c>
    </row>
    <row r="28" spans="2:12" x14ac:dyDescent="0.25">
      <c r="B28" s="254" t="s">
        <v>385</v>
      </c>
      <c r="C28" s="255">
        <v>71.17</v>
      </c>
      <c r="D28" s="255">
        <v>10.86</v>
      </c>
      <c r="E28" s="255">
        <v>22.62</v>
      </c>
      <c r="F28" s="255">
        <v>98.32</v>
      </c>
      <c r="G28" s="255">
        <v>41.38</v>
      </c>
      <c r="H28" s="255">
        <v>35.39</v>
      </c>
      <c r="I28" s="255">
        <v>35.89</v>
      </c>
      <c r="J28" s="255">
        <v>0</v>
      </c>
      <c r="K28" s="255">
        <v>51.47</v>
      </c>
      <c r="L28" s="256">
        <v>46.82</v>
      </c>
    </row>
    <row r="29" spans="2:12" ht="15.75" thickBot="1" x14ac:dyDescent="0.3">
      <c r="B29" s="244" t="s">
        <v>178</v>
      </c>
      <c r="C29" s="252">
        <v>70.11</v>
      </c>
      <c r="D29" s="252">
        <v>4.83</v>
      </c>
      <c r="E29" s="252">
        <v>19.600000000000001</v>
      </c>
      <c r="F29" s="252">
        <v>95.24</v>
      </c>
      <c r="G29" s="252">
        <v>33.78</v>
      </c>
      <c r="H29" s="252">
        <v>27.35</v>
      </c>
      <c r="I29" s="252">
        <v>31.67</v>
      </c>
      <c r="J29" s="252">
        <v>0</v>
      </c>
      <c r="K29" s="252">
        <v>35.39</v>
      </c>
      <c r="L29" s="253">
        <v>42.75</v>
      </c>
    </row>
  </sheetData>
  <mergeCells count="1">
    <mergeCell ref="C3:F3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1"/>
  <sheetViews>
    <sheetView workbookViewId="0">
      <selection activeCell="A55" sqref="A55:XFD55"/>
    </sheetView>
  </sheetViews>
  <sheetFormatPr defaultRowHeight="15" x14ac:dyDescent="0.25"/>
  <cols>
    <col min="1" max="1" width="20" style="86" bestFit="1" customWidth="1"/>
    <col min="2" max="2" width="24.140625" style="86" bestFit="1" customWidth="1"/>
    <col min="3" max="3" width="9.140625" style="86"/>
    <col min="4" max="5" width="13" style="86" customWidth="1"/>
    <col min="6" max="6" width="13.85546875" style="86" bestFit="1" customWidth="1"/>
    <col min="7" max="7" width="5.42578125" style="86" customWidth="1"/>
    <col min="8" max="8" width="9.42578125" style="86" bestFit="1" customWidth="1"/>
    <col min="9" max="9" width="9.85546875" style="86" bestFit="1" customWidth="1"/>
    <col min="10" max="10" width="13.7109375" style="86" bestFit="1" customWidth="1"/>
    <col min="11" max="11" width="8.5703125" style="86" customWidth="1"/>
    <col min="12" max="12" width="14" style="86" customWidth="1"/>
    <col min="13" max="13" width="5.7109375" style="86" customWidth="1"/>
    <col min="14" max="14" width="9.140625" style="86"/>
    <col min="15" max="15" width="11" style="86" customWidth="1"/>
    <col min="16" max="16" width="9.140625" style="86"/>
    <col min="17" max="17" width="9.140625" style="211"/>
    <col min="18" max="18" width="9.140625" style="86"/>
    <col min="19" max="19" width="11.7109375" style="86" customWidth="1"/>
    <col min="20" max="20" width="11.28515625" style="86" customWidth="1"/>
    <col min="21" max="21" width="9.140625" style="86"/>
    <col min="22" max="22" width="10.28515625" style="86" customWidth="1"/>
    <col min="23" max="16384" width="9.140625" style="86"/>
  </cols>
  <sheetData>
    <row r="1" spans="1:23" ht="15.75" thickBot="1" x14ac:dyDescent="0.3"/>
    <row r="2" spans="1:23" ht="15.75" thickBot="1" x14ac:dyDescent="0.3">
      <c r="B2" s="36"/>
      <c r="C2" s="395" t="s">
        <v>36</v>
      </c>
      <c r="D2" s="396"/>
      <c r="E2" s="396"/>
      <c r="F2" s="396"/>
      <c r="G2" s="37"/>
      <c r="H2" s="396" t="s">
        <v>37</v>
      </c>
      <c r="I2" s="396"/>
      <c r="J2" s="396"/>
      <c r="K2" s="396"/>
      <c r="L2" s="396"/>
      <c r="M2" s="37"/>
      <c r="N2" s="395" t="s">
        <v>372</v>
      </c>
      <c r="O2" s="396"/>
      <c r="P2" s="396"/>
      <c r="Q2" s="397"/>
      <c r="S2" s="395" t="s">
        <v>307</v>
      </c>
      <c r="T2" s="397"/>
      <c r="V2" s="377" t="s">
        <v>310</v>
      </c>
      <c r="W2" s="377"/>
    </row>
    <row r="3" spans="1:23" ht="15.75" thickBot="1" x14ac:dyDescent="0.3">
      <c r="B3" s="39" t="s">
        <v>7</v>
      </c>
      <c r="C3" s="40" t="s">
        <v>8</v>
      </c>
      <c r="D3" s="35" t="s">
        <v>9</v>
      </c>
      <c r="E3" s="35" t="s">
        <v>40</v>
      </c>
      <c r="F3" s="35" t="s">
        <v>43</v>
      </c>
      <c r="G3" s="37"/>
      <c r="H3" s="35" t="s">
        <v>8</v>
      </c>
      <c r="I3" s="35" t="s">
        <v>9</v>
      </c>
      <c r="J3" s="35" t="s">
        <v>41</v>
      </c>
      <c r="K3" s="35" t="s">
        <v>40</v>
      </c>
      <c r="L3" s="35" t="s">
        <v>42</v>
      </c>
      <c r="M3" s="37"/>
      <c r="N3" s="212" t="s">
        <v>38</v>
      </c>
      <c r="O3" s="213" t="s">
        <v>39</v>
      </c>
      <c r="P3" s="213" t="s">
        <v>44</v>
      </c>
      <c r="Q3" s="230" t="s">
        <v>373</v>
      </c>
      <c r="S3" s="39" t="s">
        <v>308</v>
      </c>
      <c r="T3" s="38" t="s">
        <v>309</v>
      </c>
      <c r="V3" s="86" t="s">
        <v>305</v>
      </c>
      <c r="W3" s="86" t="s">
        <v>306</v>
      </c>
    </row>
    <row r="4" spans="1:23" x14ac:dyDescent="0.25">
      <c r="A4" s="52" t="s">
        <v>46</v>
      </c>
      <c r="B4" s="30" t="s">
        <v>0</v>
      </c>
      <c r="C4" s="7">
        <v>6</v>
      </c>
      <c r="D4" s="2">
        <v>13</v>
      </c>
      <c r="E4" s="2">
        <v>4</v>
      </c>
      <c r="F4" s="5">
        <v>15</v>
      </c>
      <c r="G4" s="13"/>
      <c r="H4" s="223"/>
      <c r="I4" s="2"/>
      <c r="J4" s="2"/>
      <c r="K4" s="2"/>
      <c r="L4" s="5"/>
      <c r="M4" s="13"/>
      <c r="N4" s="223"/>
      <c r="O4" s="2"/>
      <c r="P4" s="5"/>
      <c r="Q4" s="3">
        <v>4</v>
      </c>
      <c r="S4" s="1">
        <f>J4/3</f>
        <v>0</v>
      </c>
      <c r="T4" s="1">
        <f>J4</f>
        <v>0</v>
      </c>
      <c r="V4" s="86">
        <f>IF('DMG PLANNER'!B13=B7,S7,IF('DMG PLANNER'!B13=B8,S8,IF('DMG PLANNER'!B13=B16,S16,IF('DMG PLANNER'!B13=B17,S17,IF('DMG PLANNER'!B13=B18,S18,IF('DMG PLANNER'!B13=B21,S21,IF('DMG PLANNER'!B13=B24,S24,IF('DMG PLANNER'!B13=B25,S25,IF('DMG PLANNER'!B13=B26,S26,IF('DMG PLANNER'!B13=B27,S27,IF('DMG PLANNER'!B13=B28,S28,IF('DMG PLANNER'!B13=B30,S30,IF('DMG PLANNER'!B13=B32,S32,IF('DMG PLANNER'!B13=B33,S33,IF('DMG PLANNER'!B13=B34,S34,IF('DMG PLANNER'!B13=B37,S37,IF('DMG PLANNER'!B13=B38,S38,IF('DMG PLANNER'!B13=B39,S39,IF('DMG PLANNER'!B13=B40,S40,IF('DMG PLANNER'!B13=B41,S41,IF('DMG PLANNER'!B13=B42,S42,IF('DMG PLANNER'!B13=B43,S43,IF('DMG PLANNER'!B13=B44,S44,IF('DMG PLANNER'!B13=B45,S45,IF('DMG PLANNER'!B13=B58,S58,IF('DMG PLANNER'!B13=B59,S59,1))))))))))))))))))))))))))</f>
        <v>1</v>
      </c>
      <c r="W4" s="86">
        <f>IF('DMG PLANNER'!B13=B7,T7,IF('DMG PLANNER'!B13=B8,T8,IF('DMG PLANNER'!B13=B16,T16,IF('DMG PLANNER'!B13=B17,T17,IF('DMG PLANNER'!B13=B18,T18,IF('DMG PLANNER'!B13=B21,T21,IF('DMG PLANNER'!B13=B24,T24,IF('DMG PLANNER'!B13=B25,T25,IF('DMG PLANNER'!B13=B26,T26,IF('DMG PLANNER'!B13=B27,T27,IF('DMG PLANNER'!B13=B28,T28,IF('DMG PLANNER'!B13=B30,T30,IF('DMG PLANNER'!B13=B32,T32,IF('DMG PLANNER'!B13=B33,T33,IF('DMG PLANNER'!B13=B34,T34,IF('DMG PLANNER'!B13=B37,T37,IF('DMG PLANNER'!B13=B38,T38,IF('DMG PLANNER'!B13=B39,T39,IF('DMG PLANNER'!B13=B40,T40,IF('DMG PLANNER'!B13=B41,T41,IF('DMG PLANNER'!B13=B42,T42,IF('DMG PLANNER'!B13=B43,T43,IF('DMG PLANNER'!B13=B44,T44,IF('DMG PLANNER'!B13=B45,T45,IF('DMG PLANNER'!B13=B58,T58,IF('DMG PLANNER'!B13=B59,T59,1))))))))))))))))))))))))))</f>
        <v>1</v>
      </c>
    </row>
    <row r="5" spans="1:23" x14ac:dyDescent="0.25">
      <c r="B5" s="31" t="s">
        <v>1</v>
      </c>
      <c r="C5" s="8">
        <v>8</v>
      </c>
      <c r="D5" s="1">
        <v>16</v>
      </c>
      <c r="E5" s="1">
        <v>4</v>
      </c>
      <c r="F5" s="6">
        <v>20</v>
      </c>
      <c r="G5" s="14"/>
      <c r="H5" s="224"/>
      <c r="I5" s="1"/>
      <c r="J5" s="1"/>
      <c r="K5" s="1"/>
      <c r="L5" s="6"/>
      <c r="M5" s="14"/>
      <c r="N5" s="224"/>
      <c r="O5" s="1"/>
      <c r="P5" s="6"/>
      <c r="Q5" s="4">
        <v>5</v>
      </c>
      <c r="S5" s="1">
        <f t="shared" ref="S5:S57" si="0">J5/3</f>
        <v>0</v>
      </c>
      <c r="T5" s="1">
        <f t="shared" ref="T5:T59" si="1">J5</f>
        <v>0</v>
      </c>
    </row>
    <row r="6" spans="1:23" x14ac:dyDescent="0.25">
      <c r="B6" s="31" t="s">
        <v>2</v>
      </c>
      <c r="C6" s="8">
        <v>16</v>
      </c>
      <c r="D6" s="1">
        <v>21</v>
      </c>
      <c r="E6" s="1">
        <v>4</v>
      </c>
      <c r="F6" s="6">
        <v>25</v>
      </c>
      <c r="G6" s="14"/>
      <c r="H6" s="224"/>
      <c r="I6" s="1"/>
      <c r="J6" s="1"/>
      <c r="K6" s="1"/>
      <c r="L6" s="6"/>
      <c r="M6" s="14"/>
      <c r="N6" s="224"/>
      <c r="O6" s="1"/>
      <c r="P6" s="6"/>
      <c r="Q6" s="4">
        <v>3</v>
      </c>
      <c r="S6" s="1">
        <f t="shared" si="0"/>
        <v>0</v>
      </c>
      <c r="T6" s="1">
        <f t="shared" si="1"/>
        <v>0</v>
      </c>
    </row>
    <row r="7" spans="1:23" x14ac:dyDescent="0.25">
      <c r="B7" s="31" t="s">
        <v>3</v>
      </c>
      <c r="C7" s="8">
        <v>25</v>
      </c>
      <c r="D7" s="1">
        <v>35</v>
      </c>
      <c r="E7" s="1">
        <v>5</v>
      </c>
      <c r="F7" s="6">
        <v>14</v>
      </c>
      <c r="G7" s="14"/>
      <c r="H7" s="224">
        <v>25</v>
      </c>
      <c r="I7" s="1">
        <v>35</v>
      </c>
      <c r="J7" s="1">
        <v>2</v>
      </c>
      <c r="K7" s="1">
        <v>6</v>
      </c>
      <c r="L7" s="6">
        <v>11</v>
      </c>
      <c r="M7" s="14"/>
      <c r="N7" s="224">
        <v>2</v>
      </c>
      <c r="O7" s="1">
        <f>N7/J7</f>
        <v>1</v>
      </c>
      <c r="P7" s="6"/>
      <c r="Q7" s="4">
        <v>4</v>
      </c>
      <c r="S7" s="1">
        <v>2</v>
      </c>
      <c r="T7" s="1">
        <f t="shared" si="1"/>
        <v>2</v>
      </c>
    </row>
    <row r="8" spans="1:23" x14ac:dyDescent="0.25">
      <c r="B8" s="31" t="s">
        <v>4</v>
      </c>
      <c r="C8" s="8">
        <v>29</v>
      </c>
      <c r="D8" s="1">
        <v>42</v>
      </c>
      <c r="E8" s="1">
        <v>4</v>
      </c>
      <c r="F8" s="6">
        <v>9</v>
      </c>
      <c r="G8" s="14"/>
      <c r="H8" s="224">
        <v>29</v>
      </c>
      <c r="I8" s="1">
        <v>42</v>
      </c>
      <c r="J8" s="1">
        <v>2</v>
      </c>
      <c r="K8" s="1">
        <v>5</v>
      </c>
      <c r="L8" s="6">
        <v>7</v>
      </c>
      <c r="M8" s="14"/>
      <c r="N8" s="224">
        <v>2</v>
      </c>
      <c r="O8" s="1">
        <f>N8/J8</f>
        <v>1</v>
      </c>
      <c r="P8" s="6"/>
      <c r="Q8" s="4">
        <v>4</v>
      </c>
      <c r="S8" s="1">
        <v>2</v>
      </c>
      <c r="T8" s="1">
        <f t="shared" si="1"/>
        <v>2</v>
      </c>
    </row>
    <row r="9" spans="1:23" x14ac:dyDescent="0.25">
      <c r="B9" s="31" t="s">
        <v>5</v>
      </c>
      <c r="C9" s="8">
        <v>1</v>
      </c>
      <c r="D9" s="1">
        <v>3</v>
      </c>
      <c r="E9" s="1">
        <v>5</v>
      </c>
      <c r="F9" s="6">
        <v>22</v>
      </c>
      <c r="G9" s="14"/>
      <c r="H9" s="224"/>
      <c r="I9" s="1"/>
      <c r="J9" s="1"/>
      <c r="K9" s="1"/>
      <c r="L9" s="6"/>
      <c r="M9" s="14"/>
      <c r="N9" s="224"/>
      <c r="O9" s="1"/>
      <c r="P9" s="6"/>
      <c r="Q9" s="4">
        <v>3</v>
      </c>
      <c r="S9" s="1">
        <f t="shared" si="0"/>
        <v>0</v>
      </c>
      <c r="T9" s="1">
        <f t="shared" si="1"/>
        <v>0</v>
      </c>
      <c r="V9" s="190"/>
    </row>
    <row r="10" spans="1:23" x14ac:dyDescent="0.25">
      <c r="B10" s="31" t="s">
        <v>6</v>
      </c>
      <c r="C10" s="8">
        <v>2</v>
      </c>
      <c r="D10" s="1">
        <v>4</v>
      </c>
      <c r="E10" s="1">
        <v>5</v>
      </c>
      <c r="F10" s="6">
        <v>32</v>
      </c>
      <c r="G10" s="14"/>
      <c r="H10" s="224"/>
      <c r="I10" s="1"/>
      <c r="J10" s="1"/>
      <c r="K10" s="1"/>
      <c r="L10" s="6"/>
      <c r="M10" s="14"/>
      <c r="N10" s="224"/>
      <c r="O10" s="1"/>
      <c r="P10" s="6"/>
      <c r="Q10" s="4">
        <v>3</v>
      </c>
      <c r="S10" s="1">
        <f t="shared" si="0"/>
        <v>0</v>
      </c>
      <c r="T10" s="1">
        <f t="shared" si="1"/>
        <v>0</v>
      </c>
    </row>
    <row r="11" spans="1:23" x14ac:dyDescent="0.25">
      <c r="B11" s="31" t="s">
        <v>10</v>
      </c>
      <c r="C11" s="8">
        <v>19</v>
      </c>
      <c r="D11" s="1">
        <v>28</v>
      </c>
      <c r="E11" s="1">
        <v>4</v>
      </c>
      <c r="F11" s="6">
        <v>22</v>
      </c>
      <c r="G11" s="14"/>
      <c r="H11" s="224"/>
      <c r="I11" s="1"/>
      <c r="J11" s="1"/>
      <c r="K11" s="1"/>
      <c r="L11" s="6"/>
      <c r="M11" s="14"/>
      <c r="N11" s="224"/>
      <c r="O11" s="1"/>
      <c r="P11" s="6"/>
      <c r="Q11" s="4">
        <v>5</v>
      </c>
      <c r="S11" s="1">
        <f t="shared" si="0"/>
        <v>0</v>
      </c>
      <c r="T11" s="1">
        <f t="shared" si="1"/>
        <v>0</v>
      </c>
    </row>
    <row r="12" spans="1:23" x14ac:dyDescent="0.25">
      <c r="B12" s="31" t="s">
        <v>11</v>
      </c>
      <c r="C12" s="8">
        <v>19</v>
      </c>
      <c r="D12" s="1">
        <v>28</v>
      </c>
      <c r="E12" s="1">
        <v>4</v>
      </c>
      <c r="F12" s="6">
        <v>22</v>
      </c>
      <c r="G12" s="14"/>
      <c r="H12" s="224"/>
      <c r="I12" s="1"/>
      <c r="J12" s="1"/>
      <c r="K12" s="1"/>
      <c r="L12" s="6"/>
      <c r="M12" s="14"/>
      <c r="N12" s="224"/>
      <c r="O12" s="1"/>
      <c r="P12" s="6"/>
      <c r="Q12" s="4">
        <v>5</v>
      </c>
      <c r="S12" s="1">
        <f t="shared" si="0"/>
        <v>0</v>
      </c>
      <c r="T12" s="1">
        <f t="shared" si="1"/>
        <v>0</v>
      </c>
    </row>
    <row r="13" spans="1:23" x14ac:dyDescent="0.25">
      <c r="B13" s="31" t="s">
        <v>12</v>
      </c>
      <c r="C13" s="8">
        <v>15</v>
      </c>
      <c r="D13" s="1">
        <v>34</v>
      </c>
      <c r="E13" s="1">
        <v>4</v>
      </c>
      <c r="F13" s="6">
        <v>27</v>
      </c>
      <c r="G13" s="14"/>
      <c r="H13" s="224"/>
      <c r="I13" s="1"/>
      <c r="J13" s="1"/>
      <c r="K13" s="1"/>
      <c r="L13" s="6"/>
      <c r="M13" s="14"/>
      <c r="N13" s="224"/>
      <c r="O13" s="1"/>
      <c r="P13" s="6"/>
      <c r="Q13" s="4">
        <v>4</v>
      </c>
      <c r="S13" s="1">
        <f t="shared" si="0"/>
        <v>0</v>
      </c>
      <c r="T13" s="1">
        <f t="shared" si="1"/>
        <v>0</v>
      </c>
    </row>
    <row r="14" spans="1:23" x14ac:dyDescent="0.25">
      <c r="B14" s="31" t="s">
        <v>13</v>
      </c>
      <c r="C14" s="8">
        <v>15</v>
      </c>
      <c r="D14" s="1">
        <v>34</v>
      </c>
      <c r="E14" s="1">
        <v>4</v>
      </c>
      <c r="F14" s="6">
        <v>27</v>
      </c>
      <c r="G14" s="14"/>
      <c r="H14" s="224"/>
      <c r="I14" s="1"/>
      <c r="J14" s="1"/>
      <c r="K14" s="1"/>
      <c r="L14" s="6"/>
      <c r="M14" s="14"/>
      <c r="N14" s="224"/>
      <c r="O14" s="1"/>
      <c r="P14" s="6"/>
      <c r="Q14" s="4">
        <v>4</v>
      </c>
      <c r="S14" s="1">
        <f t="shared" si="0"/>
        <v>0</v>
      </c>
      <c r="T14" s="1">
        <f t="shared" si="1"/>
        <v>0</v>
      </c>
    </row>
    <row r="15" spans="1:23" x14ac:dyDescent="0.25">
      <c r="B15" s="31" t="s">
        <v>14</v>
      </c>
      <c r="C15" s="8">
        <v>19</v>
      </c>
      <c r="D15" s="1">
        <v>24</v>
      </c>
      <c r="E15" s="1">
        <v>4</v>
      </c>
      <c r="F15" s="6">
        <v>22</v>
      </c>
      <c r="G15" s="14"/>
      <c r="H15" s="224"/>
      <c r="I15" s="1"/>
      <c r="J15" s="1"/>
      <c r="K15" s="1"/>
      <c r="L15" s="6"/>
      <c r="M15" s="14"/>
      <c r="N15" s="224"/>
      <c r="O15" s="1"/>
      <c r="P15" s="6"/>
      <c r="Q15" s="4">
        <v>3</v>
      </c>
      <c r="S15" s="1">
        <f t="shared" si="0"/>
        <v>0</v>
      </c>
      <c r="T15" s="1">
        <f t="shared" si="1"/>
        <v>0</v>
      </c>
    </row>
    <row r="16" spans="1:23" x14ac:dyDescent="0.25">
      <c r="B16" s="31" t="s">
        <v>15</v>
      </c>
      <c r="C16" s="8">
        <v>15</v>
      </c>
      <c r="D16" s="1">
        <v>28</v>
      </c>
      <c r="E16" s="1">
        <v>5</v>
      </c>
      <c r="F16" s="6">
        <v>22</v>
      </c>
      <c r="G16" s="14"/>
      <c r="H16" s="224">
        <v>15</v>
      </c>
      <c r="I16" s="1">
        <v>28</v>
      </c>
      <c r="J16" s="1">
        <v>15</v>
      </c>
      <c r="K16" s="1">
        <v>6</v>
      </c>
      <c r="L16" s="6">
        <v>22</v>
      </c>
      <c r="M16" s="14"/>
      <c r="N16" s="224">
        <v>60</v>
      </c>
      <c r="O16" s="1">
        <f t="shared" ref="O16:O59" si="2">N16/J16</f>
        <v>4</v>
      </c>
      <c r="P16" s="6"/>
      <c r="Q16" s="4">
        <v>4</v>
      </c>
      <c r="S16" s="1">
        <f t="shared" si="0"/>
        <v>5</v>
      </c>
      <c r="T16" s="1">
        <f t="shared" si="1"/>
        <v>15</v>
      </c>
    </row>
    <row r="17" spans="2:20" x14ac:dyDescent="0.25">
      <c r="B17" s="31" t="s">
        <v>16</v>
      </c>
      <c r="C17" s="8">
        <v>18</v>
      </c>
      <c r="D17" s="1">
        <v>30</v>
      </c>
      <c r="E17" s="1">
        <v>5</v>
      </c>
      <c r="F17" s="6">
        <v>28</v>
      </c>
      <c r="G17" s="14"/>
      <c r="H17" s="224">
        <v>18</v>
      </c>
      <c r="I17" s="1">
        <v>30</v>
      </c>
      <c r="J17" s="1">
        <v>15</v>
      </c>
      <c r="K17" s="1">
        <v>6</v>
      </c>
      <c r="L17" s="6">
        <v>28</v>
      </c>
      <c r="M17" s="14"/>
      <c r="N17" s="224">
        <v>75</v>
      </c>
      <c r="O17" s="1">
        <f t="shared" si="2"/>
        <v>5</v>
      </c>
      <c r="P17" s="6"/>
      <c r="Q17" s="4">
        <v>6</v>
      </c>
      <c r="S17" s="1">
        <f t="shared" si="0"/>
        <v>5</v>
      </c>
      <c r="T17" s="1">
        <f t="shared" si="1"/>
        <v>15</v>
      </c>
    </row>
    <row r="18" spans="2:20" x14ac:dyDescent="0.25">
      <c r="B18" s="31" t="s">
        <v>17</v>
      </c>
      <c r="C18" s="8">
        <v>23</v>
      </c>
      <c r="D18" s="1">
        <v>33</v>
      </c>
      <c r="E18" s="1">
        <v>4</v>
      </c>
      <c r="F18" s="6">
        <v>14</v>
      </c>
      <c r="G18" s="14"/>
      <c r="H18" s="224">
        <v>23</v>
      </c>
      <c r="I18" s="1">
        <v>33</v>
      </c>
      <c r="J18" s="1">
        <v>4</v>
      </c>
      <c r="K18" s="1">
        <v>5</v>
      </c>
      <c r="L18" s="6">
        <v>14</v>
      </c>
      <c r="M18" s="14"/>
      <c r="N18" s="224">
        <v>12</v>
      </c>
      <c r="O18" s="1">
        <f t="shared" si="2"/>
        <v>3</v>
      </c>
      <c r="P18" s="6"/>
      <c r="Q18" s="4">
        <v>5</v>
      </c>
      <c r="S18" s="1">
        <v>4</v>
      </c>
      <c r="T18" s="1">
        <f t="shared" si="1"/>
        <v>4</v>
      </c>
    </row>
    <row r="19" spans="2:20" x14ac:dyDescent="0.25">
      <c r="B19" s="31" t="s">
        <v>18</v>
      </c>
      <c r="C19" s="8">
        <v>14</v>
      </c>
      <c r="D19" s="1">
        <v>21</v>
      </c>
      <c r="E19" s="1">
        <v>5</v>
      </c>
      <c r="F19" s="6">
        <v>40</v>
      </c>
      <c r="G19" s="14"/>
      <c r="H19" s="224"/>
      <c r="I19" s="1"/>
      <c r="J19" s="1"/>
      <c r="K19" s="1"/>
      <c r="L19" s="6"/>
      <c r="M19" s="14"/>
      <c r="N19" s="224"/>
      <c r="O19" s="1"/>
      <c r="P19" s="6"/>
      <c r="Q19" s="4">
        <v>5</v>
      </c>
      <c r="S19" s="1">
        <f t="shared" si="0"/>
        <v>0</v>
      </c>
      <c r="T19" s="1">
        <f t="shared" si="1"/>
        <v>0</v>
      </c>
    </row>
    <row r="20" spans="2:20" x14ac:dyDescent="0.25">
      <c r="B20" s="31" t="s">
        <v>19</v>
      </c>
      <c r="C20" s="8">
        <v>14</v>
      </c>
      <c r="D20" s="1">
        <v>21</v>
      </c>
      <c r="E20" s="1">
        <v>5</v>
      </c>
      <c r="F20" s="6">
        <v>42</v>
      </c>
      <c r="G20" s="14"/>
      <c r="H20" s="224"/>
      <c r="I20" s="1"/>
      <c r="J20" s="1"/>
      <c r="K20" s="1"/>
      <c r="L20" s="6"/>
      <c r="M20" s="14"/>
      <c r="N20" s="224"/>
      <c r="O20" s="1"/>
      <c r="P20" s="6"/>
      <c r="Q20" s="4">
        <v>5</v>
      </c>
      <c r="S20" s="1">
        <f t="shared" si="0"/>
        <v>0</v>
      </c>
      <c r="T20" s="1">
        <f t="shared" si="1"/>
        <v>0</v>
      </c>
    </row>
    <row r="21" spans="2:20" x14ac:dyDescent="0.25">
      <c r="B21" s="31" t="s">
        <v>20</v>
      </c>
      <c r="C21" s="8">
        <v>16</v>
      </c>
      <c r="D21" s="1">
        <v>22</v>
      </c>
      <c r="E21" s="1">
        <v>5</v>
      </c>
      <c r="F21" s="6">
        <v>25</v>
      </c>
      <c r="G21" s="14"/>
      <c r="H21" s="224">
        <v>16</v>
      </c>
      <c r="I21" s="1">
        <v>22</v>
      </c>
      <c r="J21" s="1">
        <v>10</v>
      </c>
      <c r="K21" s="1">
        <v>5</v>
      </c>
      <c r="L21" s="6">
        <v>25</v>
      </c>
      <c r="M21" s="14"/>
      <c r="N21" s="224">
        <v>30</v>
      </c>
      <c r="O21" s="1">
        <f t="shared" si="2"/>
        <v>3</v>
      </c>
      <c r="P21" s="6"/>
      <c r="Q21" s="4">
        <v>4</v>
      </c>
      <c r="S21" s="1">
        <v>4</v>
      </c>
      <c r="T21" s="1">
        <f t="shared" si="1"/>
        <v>10</v>
      </c>
    </row>
    <row r="22" spans="2:20" x14ac:dyDescent="0.25">
      <c r="B22" s="31" t="s">
        <v>21</v>
      </c>
      <c r="C22" s="8">
        <v>22</v>
      </c>
      <c r="D22" s="1">
        <v>30</v>
      </c>
      <c r="E22" s="1">
        <v>4</v>
      </c>
      <c r="F22" s="6">
        <v>24</v>
      </c>
      <c r="G22" s="14"/>
      <c r="H22" s="224"/>
      <c r="I22" s="1"/>
      <c r="J22" s="1"/>
      <c r="K22" s="1"/>
      <c r="L22" s="6"/>
      <c r="M22" s="14"/>
      <c r="N22" s="224"/>
      <c r="O22" s="1"/>
      <c r="P22" s="6"/>
      <c r="Q22" s="4">
        <v>4</v>
      </c>
      <c r="S22" s="1">
        <f t="shared" si="0"/>
        <v>0</v>
      </c>
      <c r="T22" s="1">
        <f t="shared" si="1"/>
        <v>0</v>
      </c>
    </row>
    <row r="23" spans="2:20" x14ac:dyDescent="0.25">
      <c r="B23" s="31" t="s">
        <v>35</v>
      </c>
      <c r="C23" s="8">
        <v>15</v>
      </c>
      <c r="D23" s="1">
        <v>30</v>
      </c>
      <c r="E23" s="1">
        <v>4</v>
      </c>
      <c r="F23" s="6">
        <v>24</v>
      </c>
      <c r="G23" s="14"/>
      <c r="H23" s="224"/>
      <c r="I23" s="1"/>
      <c r="J23" s="1"/>
      <c r="K23" s="1"/>
      <c r="L23" s="6"/>
      <c r="M23" s="14"/>
      <c r="N23" s="224"/>
      <c r="O23" s="1"/>
      <c r="P23" s="6"/>
      <c r="Q23" s="4">
        <v>3</v>
      </c>
      <c r="S23" s="1">
        <f t="shared" si="0"/>
        <v>0</v>
      </c>
      <c r="T23" s="1">
        <f t="shared" si="1"/>
        <v>0</v>
      </c>
    </row>
    <row r="24" spans="2:20" x14ac:dyDescent="0.25">
      <c r="B24" s="31" t="s">
        <v>22</v>
      </c>
      <c r="C24" s="8">
        <v>25</v>
      </c>
      <c r="D24" s="1">
        <v>34</v>
      </c>
      <c r="E24" s="1">
        <v>5</v>
      </c>
      <c r="F24" s="6">
        <v>45</v>
      </c>
      <c r="G24" s="14"/>
      <c r="H24" s="224">
        <v>24</v>
      </c>
      <c r="I24" s="1">
        <v>33</v>
      </c>
      <c r="J24" s="1">
        <v>12</v>
      </c>
      <c r="K24" s="1">
        <v>6</v>
      </c>
      <c r="L24" s="6">
        <v>38</v>
      </c>
      <c r="M24" s="14"/>
      <c r="N24" s="224">
        <v>36</v>
      </c>
      <c r="O24" s="1">
        <f t="shared" si="2"/>
        <v>3</v>
      </c>
      <c r="P24" s="6">
        <v>4</v>
      </c>
      <c r="Q24" s="4">
        <v>5</v>
      </c>
      <c r="S24" s="1">
        <f t="shared" si="0"/>
        <v>4</v>
      </c>
      <c r="T24" s="1">
        <f t="shared" si="1"/>
        <v>12</v>
      </c>
    </row>
    <row r="25" spans="2:20" x14ac:dyDescent="0.25">
      <c r="B25" s="31" t="s">
        <v>23</v>
      </c>
      <c r="C25" s="8">
        <v>25</v>
      </c>
      <c r="D25" s="1">
        <v>34</v>
      </c>
      <c r="E25" s="1">
        <v>5</v>
      </c>
      <c r="F25" s="6">
        <v>45</v>
      </c>
      <c r="G25" s="14"/>
      <c r="H25" s="224">
        <v>24</v>
      </c>
      <c r="I25" s="1">
        <v>33</v>
      </c>
      <c r="J25" s="1">
        <v>12</v>
      </c>
      <c r="K25" s="1">
        <v>6</v>
      </c>
      <c r="L25" s="6">
        <v>38</v>
      </c>
      <c r="M25" s="14"/>
      <c r="N25" s="224">
        <v>60</v>
      </c>
      <c r="O25" s="1">
        <f t="shared" si="2"/>
        <v>5</v>
      </c>
      <c r="P25" s="6">
        <v>4</v>
      </c>
      <c r="Q25" s="4">
        <v>5</v>
      </c>
      <c r="S25" s="1">
        <f t="shared" si="0"/>
        <v>4</v>
      </c>
      <c r="T25" s="1">
        <f t="shared" si="1"/>
        <v>12</v>
      </c>
    </row>
    <row r="26" spans="2:20" x14ac:dyDescent="0.25">
      <c r="B26" s="31" t="s">
        <v>24</v>
      </c>
      <c r="C26" s="8">
        <v>25</v>
      </c>
      <c r="D26" s="1">
        <v>33</v>
      </c>
      <c r="E26" s="1">
        <v>5</v>
      </c>
      <c r="F26" s="6">
        <v>41</v>
      </c>
      <c r="G26" s="14"/>
      <c r="H26" s="224">
        <v>22</v>
      </c>
      <c r="I26" s="1">
        <v>30</v>
      </c>
      <c r="J26" s="1">
        <v>10</v>
      </c>
      <c r="K26" s="1">
        <v>6</v>
      </c>
      <c r="L26" s="6">
        <v>34</v>
      </c>
      <c r="M26" s="14"/>
      <c r="N26" s="224">
        <v>30</v>
      </c>
      <c r="O26" s="1">
        <f t="shared" si="2"/>
        <v>3</v>
      </c>
      <c r="P26" s="6"/>
      <c r="Q26" s="4">
        <v>5</v>
      </c>
      <c r="S26" s="1">
        <v>4</v>
      </c>
      <c r="T26" s="1">
        <f t="shared" si="1"/>
        <v>10</v>
      </c>
    </row>
    <row r="27" spans="2:20" x14ac:dyDescent="0.25">
      <c r="B27" s="31" t="s">
        <v>25</v>
      </c>
      <c r="C27" s="8">
        <v>17</v>
      </c>
      <c r="D27" s="1">
        <v>31</v>
      </c>
      <c r="E27" s="1">
        <v>4</v>
      </c>
      <c r="F27" s="6">
        <v>16</v>
      </c>
      <c r="G27" s="14"/>
      <c r="H27" s="224">
        <v>17</v>
      </c>
      <c r="I27" s="1">
        <v>31</v>
      </c>
      <c r="J27" s="1">
        <v>6</v>
      </c>
      <c r="K27" s="1">
        <v>5</v>
      </c>
      <c r="L27" s="6">
        <v>16</v>
      </c>
      <c r="M27" s="14"/>
      <c r="N27" s="224">
        <v>18</v>
      </c>
      <c r="O27" s="1">
        <f t="shared" si="2"/>
        <v>3</v>
      </c>
      <c r="P27" s="6"/>
      <c r="Q27" s="4">
        <v>6</v>
      </c>
      <c r="S27" s="1">
        <v>6</v>
      </c>
      <c r="T27" s="1">
        <f t="shared" si="1"/>
        <v>6</v>
      </c>
    </row>
    <row r="28" spans="2:20" x14ac:dyDescent="0.25">
      <c r="B28" s="31" t="s">
        <v>26</v>
      </c>
      <c r="C28" s="8">
        <v>16</v>
      </c>
      <c r="D28" s="1">
        <v>21</v>
      </c>
      <c r="E28" s="1">
        <v>5</v>
      </c>
      <c r="F28" s="6">
        <v>30</v>
      </c>
      <c r="G28" s="14"/>
      <c r="H28" s="224">
        <v>16</v>
      </c>
      <c r="I28" s="1">
        <v>21</v>
      </c>
      <c r="J28" s="1">
        <v>16</v>
      </c>
      <c r="K28" s="1">
        <v>6</v>
      </c>
      <c r="L28" s="6">
        <v>25</v>
      </c>
      <c r="M28" s="14"/>
      <c r="N28" s="224">
        <v>48</v>
      </c>
      <c r="O28" s="1">
        <f t="shared" si="2"/>
        <v>3</v>
      </c>
      <c r="P28" s="6"/>
      <c r="Q28" s="4">
        <v>4</v>
      </c>
      <c r="S28" s="1">
        <v>6</v>
      </c>
      <c r="T28" s="1">
        <f t="shared" si="1"/>
        <v>16</v>
      </c>
    </row>
    <row r="29" spans="2:20" x14ac:dyDescent="0.25">
      <c r="B29" s="31" t="s">
        <v>27</v>
      </c>
      <c r="C29" s="8">
        <v>30</v>
      </c>
      <c r="D29" s="1">
        <v>40</v>
      </c>
      <c r="E29" s="1">
        <v>5</v>
      </c>
      <c r="F29" s="6">
        <v>35</v>
      </c>
      <c r="G29" s="14"/>
      <c r="H29" s="224"/>
      <c r="I29" s="1"/>
      <c r="J29" s="1"/>
      <c r="K29" s="1"/>
      <c r="L29" s="6"/>
      <c r="M29" s="14"/>
      <c r="N29" s="224"/>
      <c r="O29" s="1"/>
      <c r="P29" s="6">
        <v>4</v>
      </c>
      <c r="Q29" s="4">
        <v>5</v>
      </c>
      <c r="S29" s="1">
        <f t="shared" si="0"/>
        <v>0</v>
      </c>
      <c r="T29" s="1">
        <f t="shared" si="1"/>
        <v>0</v>
      </c>
    </row>
    <row r="30" spans="2:20" x14ac:dyDescent="0.25">
      <c r="B30" s="31" t="s">
        <v>28</v>
      </c>
      <c r="C30" s="8">
        <v>36</v>
      </c>
      <c r="D30" s="1">
        <v>42</v>
      </c>
      <c r="E30" s="1">
        <v>5</v>
      </c>
      <c r="F30" s="6">
        <v>40</v>
      </c>
      <c r="G30" s="14"/>
      <c r="H30" s="224">
        <v>36</v>
      </c>
      <c r="I30" s="1">
        <v>42</v>
      </c>
      <c r="J30" s="1">
        <v>12</v>
      </c>
      <c r="K30" s="1">
        <v>6</v>
      </c>
      <c r="L30" s="6">
        <v>40</v>
      </c>
      <c r="M30" s="14"/>
      <c r="N30" s="224">
        <v>60</v>
      </c>
      <c r="O30" s="1">
        <f t="shared" si="2"/>
        <v>5</v>
      </c>
      <c r="P30" s="6"/>
      <c r="Q30" s="4">
        <v>5</v>
      </c>
      <c r="S30" s="1">
        <f t="shared" si="0"/>
        <v>4</v>
      </c>
      <c r="T30" s="1">
        <f t="shared" si="1"/>
        <v>12</v>
      </c>
    </row>
    <row r="31" spans="2:20" x14ac:dyDescent="0.25">
      <c r="B31" s="31" t="s">
        <v>29</v>
      </c>
      <c r="C31" s="8">
        <v>20</v>
      </c>
      <c r="D31" s="1">
        <v>40</v>
      </c>
      <c r="E31" s="1">
        <v>6</v>
      </c>
      <c r="F31" s="6">
        <v>50</v>
      </c>
      <c r="G31" s="14"/>
      <c r="H31" s="224"/>
      <c r="I31" s="1"/>
      <c r="J31" s="1"/>
      <c r="K31" s="1"/>
      <c r="L31" s="6"/>
      <c r="M31" s="14"/>
      <c r="N31" s="224"/>
      <c r="O31" s="1"/>
      <c r="P31" s="6">
        <v>4</v>
      </c>
      <c r="Q31" s="4">
        <v>5</v>
      </c>
      <c r="S31" s="1">
        <f t="shared" si="0"/>
        <v>0</v>
      </c>
      <c r="T31" s="1">
        <f t="shared" si="1"/>
        <v>0</v>
      </c>
    </row>
    <row r="32" spans="2:20" x14ac:dyDescent="0.25">
      <c r="B32" s="31" t="s">
        <v>30</v>
      </c>
      <c r="C32" s="8">
        <v>23</v>
      </c>
      <c r="D32" s="1">
        <v>35</v>
      </c>
      <c r="E32" s="1">
        <v>4</v>
      </c>
      <c r="F32" s="6">
        <v>18</v>
      </c>
      <c r="G32" s="14"/>
      <c r="H32" s="224">
        <v>23</v>
      </c>
      <c r="I32" s="1">
        <v>35</v>
      </c>
      <c r="J32" s="1">
        <v>5</v>
      </c>
      <c r="K32" s="1">
        <v>5</v>
      </c>
      <c r="L32" s="6">
        <v>18</v>
      </c>
      <c r="M32" s="14"/>
      <c r="N32" s="224">
        <v>15</v>
      </c>
      <c r="O32" s="1">
        <f t="shared" si="2"/>
        <v>3</v>
      </c>
      <c r="P32" s="6"/>
      <c r="Q32" s="4">
        <v>5</v>
      </c>
      <c r="S32" s="1">
        <v>5</v>
      </c>
      <c r="T32" s="1">
        <f t="shared" si="1"/>
        <v>5</v>
      </c>
    </row>
    <row r="33" spans="1:20" x14ac:dyDescent="0.25">
      <c r="B33" s="31" t="s">
        <v>31</v>
      </c>
      <c r="C33" s="8">
        <v>25</v>
      </c>
      <c r="D33" s="1">
        <v>35</v>
      </c>
      <c r="E33" s="1">
        <v>5</v>
      </c>
      <c r="F33" s="6">
        <v>35</v>
      </c>
      <c r="G33" s="14"/>
      <c r="H33" s="224">
        <v>25</v>
      </c>
      <c r="I33" s="1">
        <v>35</v>
      </c>
      <c r="J33" s="1">
        <v>12</v>
      </c>
      <c r="K33" s="1">
        <v>6</v>
      </c>
      <c r="L33" s="6">
        <v>30</v>
      </c>
      <c r="M33" s="14"/>
      <c r="N33" s="224">
        <v>48</v>
      </c>
      <c r="O33" s="1">
        <f t="shared" si="2"/>
        <v>4</v>
      </c>
      <c r="P33" s="6"/>
      <c r="Q33" s="4">
        <v>5</v>
      </c>
      <c r="S33" s="1">
        <f t="shared" si="0"/>
        <v>4</v>
      </c>
      <c r="T33" s="1">
        <f t="shared" si="1"/>
        <v>12</v>
      </c>
    </row>
    <row r="34" spans="1:20" x14ac:dyDescent="0.25">
      <c r="B34" s="31" t="s">
        <v>32</v>
      </c>
      <c r="C34" s="8">
        <v>25</v>
      </c>
      <c r="D34" s="1">
        <v>35</v>
      </c>
      <c r="E34" s="1">
        <v>5</v>
      </c>
      <c r="F34" s="6">
        <v>40</v>
      </c>
      <c r="G34" s="14"/>
      <c r="H34" s="224">
        <v>25</v>
      </c>
      <c r="I34" s="1">
        <v>35</v>
      </c>
      <c r="J34" s="1">
        <v>12</v>
      </c>
      <c r="K34" s="1">
        <v>6</v>
      </c>
      <c r="L34" s="6">
        <v>35</v>
      </c>
      <c r="M34" s="14"/>
      <c r="N34" s="224">
        <v>48</v>
      </c>
      <c r="O34" s="1">
        <f t="shared" si="2"/>
        <v>4</v>
      </c>
      <c r="P34" s="6"/>
      <c r="Q34" s="4">
        <v>6</v>
      </c>
      <c r="S34" s="1">
        <f t="shared" si="0"/>
        <v>4</v>
      </c>
      <c r="T34" s="1">
        <f t="shared" si="1"/>
        <v>12</v>
      </c>
    </row>
    <row r="35" spans="1:20" x14ac:dyDescent="0.25">
      <c r="B35" s="31" t="s">
        <v>33</v>
      </c>
      <c r="C35" s="8">
        <v>20</v>
      </c>
      <c r="D35" s="1">
        <v>30</v>
      </c>
      <c r="E35" s="1">
        <v>4</v>
      </c>
      <c r="F35" s="6">
        <v>50</v>
      </c>
      <c r="G35" s="14"/>
      <c r="H35" s="224"/>
      <c r="I35" s="1"/>
      <c r="J35" s="1"/>
      <c r="K35" s="1"/>
      <c r="L35" s="6"/>
      <c r="M35" s="14"/>
      <c r="N35" s="224"/>
      <c r="O35" s="1"/>
      <c r="P35" s="6">
        <v>4</v>
      </c>
      <c r="Q35" s="4">
        <v>4</v>
      </c>
      <c r="S35" s="1">
        <f t="shared" si="0"/>
        <v>0</v>
      </c>
      <c r="T35" s="1">
        <f t="shared" si="1"/>
        <v>0</v>
      </c>
    </row>
    <row r="36" spans="1:20" ht="15.75" thickBot="1" x14ac:dyDescent="0.3">
      <c r="B36" s="32" t="s">
        <v>34</v>
      </c>
      <c r="C36" s="9">
        <v>29</v>
      </c>
      <c r="D36" s="10">
        <v>40</v>
      </c>
      <c r="E36" s="10">
        <v>5</v>
      </c>
      <c r="F36" s="11">
        <v>50</v>
      </c>
      <c r="G36" s="15"/>
      <c r="H36" s="237"/>
      <c r="I36" s="238"/>
      <c r="J36" s="238"/>
      <c r="K36" s="238"/>
      <c r="L36" s="239"/>
      <c r="M36" s="16"/>
      <c r="N36" s="237"/>
      <c r="O36" s="238"/>
      <c r="P36" s="239">
        <v>4</v>
      </c>
      <c r="Q36" s="240">
        <v>6</v>
      </c>
      <c r="S36" s="1">
        <f t="shared" si="0"/>
        <v>0</v>
      </c>
      <c r="T36" s="1">
        <f t="shared" si="1"/>
        <v>0</v>
      </c>
    </row>
    <row r="37" spans="1:20" x14ac:dyDescent="0.25">
      <c r="A37" s="53" t="s">
        <v>45</v>
      </c>
      <c r="B37" s="105" t="s">
        <v>53</v>
      </c>
      <c r="C37" s="106"/>
      <c r="D37" s="107"/>
      <c r="E37" s="107"/>
      <c r="F37" s="108"/>
      <c r="G37" s="109"/>
      <c r="H37" s="231">
        <v>45</v>
      </c>
      <c r="I37" s="232">
        <v>65</v>
      </c>
      <c r="J37" s="232">
        <v>1</v>
      </c>
      <c r="K37" s="232">
        <v>6</v>
      </c>
      <c r="L37" s="233">
        <v>6</v>
      </c>
      <c r="M37" s="234"/>
      <c r="N37" s="235">
        <v>5</v>
      </c>
      <c r="O37" s="232">
        <f t="shared" si="2"/>
        <v>5</v>
      </c>
      <c r="P37" s="233"/>
      <c r="Q37" s="236">
        <v>6</v>
      </c>
      <c r="S37" s="112">
        <v>1</v>
      </c>
      <c r="T37" s="112">
        <f t="shared" si="1"/>
        <v>1</v>
      </c>
    </row>
    <row r="38" spans="1:20" x14ac:dyDescent="0.25">
      <c r="B38" s="110" t="s">
        <v>54</v>
      </c>
      <c r="C38" s="111"/>
      <c r="D38" s="112"/>
      <c r="E38" s="112"/>
      <c r="F38" s="113"/>
      <c r="G38" s="114"/>
      <c r="H38" s="111">
        <v>20</v>
      </c>
      <c r="I38" s="112">
        <v>28</v>
      </c>
      <c r="J38" s="112">
        <v>10</v>
      </c>
      <c r="K38" s="112">
        <v>7</v>
      </c>
      <c r="L38" s="113">
        <v>30</v>
      </c>
      <c r="M38" s="114"/>
      <c r="N38" s="225">
        <v>30</v>
      </c>
      <c r="O38" s="112">
        <f t="shared" si="2"/>
        <v>3</v>
      </c>
      <c r="P38" s="113"/>
      <c r="Q38" s="115">
        <v>7</v>
      </c>
      <c r="S38" s="112">
        <v>4</v>
      </c>
      <c r="T38" s="112">
        <f t="shared" si="1"/>
        <v>10</v>
      </c>
    </row>
    <row r="39" spans="1:20" x14ac:dyDescent="0.25">
      <c r="B39" s="110" t="s">
        <v>55</v>
      </c>
      <c r="C39" s="111"/>
      <c r="D39" s="112"/>
      <c r="E39" s="112"/>
      <c r="F39" s="113"/>
      <c r="G39" s="114"/>
      <c r="H39" s="111">
        <v>11</v>
      </c>
      <c r="I39" s="112">
        <v>14</v>
      </c>
      <c r="J39" s="112">
        <v>30</v>
      </c>
      <c r="K39" s="112">
        <v>7</v>
      </c>
      <c r="L39" s="113">
        <v>32</v>
      </c>
      <c r="M39" s="114"/>
      <c r="N39" s="225">
        <v>120</v>
      </c>
      <c r="O39" s="112">
        <f t="shared" si="2"/>
        <v>4</v>
      </c>
      <c r="P39" s="113"/>
      <c r="Q39" s="115">
        <v>7</v>
      </c>
      <c r="S39" s="112">
        <f t="shared" si="0"/>
        <v>10</v>
      </c>
      <c r="T39" s="112">
        <f t="shared" si="1"/>
        <v>30</v>
      </c>
    </row>
    <row r="40" spans="1:20" x14ac:dyDescent="0.25">
      <c r="B40" s="110" t="s">
        <v>56</v>
      </c>
      <c r="C40" s="111"/>
      <c r="D40" s="112"/>
      <c r="E40" s="112"/>
      <c r="F40" s="113"/>
      <c r="G40" s="114"/>
      <c r="H40" s="111">
        <v>100</v>
      </c>
      <c r="I40" s="112">
        <v>110</v>
      </c>
      <c r="J40" s="112">
        <v>1</v>
      </c>
      <c r="K40" s="112">
        <v>7</v>
      </c>
      <c r="L40" s="113">
        <v>7</v>
      </c>
      <c r="M40" s="114"/>
      <c r="N40" s="225">
        <v>5</v>
      </c>
      <c r="O40" s="112">
        <f t="shared" si="2"/>
        <v>5</v>
      </c>
      <c r="P40" s="113"/>
      <c r="Q40" s="115">
        <v>6</v>
      </c>
      <c r="S40" s="112">
        <v>1</v>
      </c>
      <c r="T40" s="112">
        <f t="shared" si="1"/>
        <v>1</v>
      </c>
    </row>
    <row r="41" spans="1:20" x14ac:dyDescent="0.25">
      <c r="B41" s="110" t="s">
        <v>57</v>
      </c>
      <c r="C41" s="111"/>
      <c r="D41" s="112"/>
      <c r="E41" s="112"/>
      <c r="F41" s="113"/>
      <c r="G41" s="114"/>
      <c r="H41" s="111">
        <v>80</v>
      </c>
      <c r="I41" s="112">
        <v>100</v>
      </c>
      <c r="J41" s="112">
        <v>1</v>
      </c>
      <c r="K41" s="112">
        <v>7</v>
      </c>
      <c r="L41" s="113">
        <v>40</v>
      </c>
      <c r="M41" s="114"/>
      <c r="N41" s="225">
        <v>1</v>
      </c>
      <c r="O41" s="112">
        <f t="shared" si="2"/>
        <v>1</v>
      </c>
      <c r="P41" s="113"/>
      <c r="Q41" s="115">
        <v>6</v>
      </c>
      <c r="S41" s="112">
        <v>1</v>
      </c>
      <c r="T41" s="112">
        <f t="shared" si="1"/>
        <v>1</v>
      </c>
    </row>
    <row r="42" spans="1:20" x14ac:dyDescent="0.25">
      <c r="B42" s="110" t="s">
        <v>58</v>
      </c>
      <c r="C42" s="111"/>
      <c r="D42" s="112"/>
      <c r="E42" s="112"/>
      <c r="F42" s="113"/>
      <c r="G42" s="114"/>
      <c r="H42" s="111">
        <v>34</v>
      </c>
      <c r="I42" s="112">
        <v>40</v>
      </c>
      <c r="J42" s="112">
        <v>10</v>
      </c>
      <c r="K42" s="112">
        <v>7</v>
      </c>
      <c r="L42" s="113">
        <v>35</v>
      </c>
      <c r="M42" s="114"/>
      <c r="N42" s="225">
        <v>30</v>
      </c>
      <c r="O42" s="112">
        <f t="shared" si="2"/>
        <v>3</v>
      </c>
      <c r="P42" s="113"/>
      <c r="Q42" s="115">
        <v>6</v>
      </c>
      <c r="S42" s="112">
        <v>4</v>
      </c>
      <c r="T42" s="112">
        <f t="shared" si="1"/>
        <v>10</v>
      </c>
    </row>
    <row r="43" spans="1:20" x14ac:dyDescent="0.25">
      <c r="B43" s="110" t="s">
        <v>59</v>
      </c>
      <c r="C43" s="111"/>
      <c r="D43" s="112"/>
      <c r="E43" s="112"/>
      <c r="F43" s="113"/>
      <c r="G43" s="114"/>
      <c r="H43" s="111">
        <v>12</v>
      </c>
      <c r="I43" s="112">
        <v>15</v>
      </c>
      <c r="J43" s="112">
        <v>40</v>
      </c>
      <c r="K43" s="112">
        <v>7</v>
      </c>
      <c r="L43" s="113">
        <v>35</v>
      </c>
      <c r="M43" s="114"/>
      <c r="N43" s="225">
        <v>120</v>
      </c>
      <c r="O43" s="112">
        <f t="shared" si="2"/>
        <v>3</v>
      </c>
      <c r="P43" s="113"/>
      <c r="Q43" s="115">
        <v>7</v>
      </c>
      <c r="S43" s="112">
        <v>14</v>
      </c>
      <c r="T43" s="112">
        <f t="shared" si="1"/>
        <v>40</v>
      </c>
    </row>
    <row r="44" spans="1:20" x14ac:dyDescent="0.25">
      <c r="B44" s="110" t="s">
        <v>60</v>
      </c>
      <c r="C44" s="111">
        <v>35</v>
      </c>
      <c r="D44" s="112">
        <v>55</v>
      </c>
      <c r="E44" s="112">
        <v>7</v>
      </c>
      <c r="F44" s="113">
        <v>50</v>
      </c>
      <c r="G44" s="114"/>
      <c r="H44" s="111">
        <v>27</v>
      </c>
      <c r="I44" s="112">
        <v>35</v>
      </c>
      <c r="J44" s="112">
        <v>8</v>
      </c>
      <c r="K44" s="112">
        <v>7</v>
      </c>
      <c r="L44" s="113">
        <v>40</v>
      </c>
      <c r="M44" s="114"/>
      <c r="N44" s="225">
        <v>16</v>
      </c>
      <c r="O44" s="112">
        <f t="shared" si="2"/>
        <v>2</v>
      </c>
      <c r="P44" s="113"/>
      <c r="Q44" s="115">
        <v>6</v>
      </c>
      <c r="S44" s="112">
        <v>8</v>
      </c>
      <c r="T44" s="112">
        <f t="shared" si="1"/>
        <v>8</v>
      </c>
    </row>
    <row r="45" spans="1:20" ht="15.75" thickBot="1" x14ac:dyDescent="0.3">
      <c r="B45" s="116" t="s">
        <v>61</v>
      </c>
      <c r="C45" s="117"/>
      <c r="D45" s="118"/>
      <c r="E45" s="118"/>
      <c r="F45" s="119"/>
      <c r="G45" s="120"/>
      <c r="H45" s="117">
        <v>14</v>
      </c>
      <c r="I45" s="118">
        <v>19</v>
      </c>
      <c r="J45" s="118">
        <v>25</v>
      </c>
      <c r="K45" s="118">
        <v>7</v>
      </c>
      <c r="L45" s="119">
        <v>30</v>
      </c>
      <c r="M45" s="120"/>
      <c r="N45" s="226">
        <v>100</v>
      </c>
      <c r="O45" s="118">
        <f t="shared" si="2"/>
        <v>4</v>
      </c>
      <c r="P45" s="119"/>
      <c r="Q45" s="121">
        <v>7</v>
      </c>
      <c r="S45" s="112">
        <v>9</v>
      </c>
      <c r="T45" s="112">
        <f t="shared" si="1"/>
        <v>25</v>
      </c>
    </row>
    <row r="46" spans="1:20" x14ac:dyDescent="0.25">
      <c r="A46" s="54" t="s">
        <v>62</v>
      </c>
      <c r="B46" s="33" t="s">
        <v>63</v>
      </c>
      <c r="C46" s="18">
        <v>17</v>
      </c>
      <c r="D46" s="19">
        <v>29</v>
      </c>
      <c r="E46" s="19">
        <v>4</v>
      </c>
      <c r="F46" s="20">
        <v>28</v>
      </c>
      <c r="G46" s="13"/>
      <c r="H46" s="227"/>
      <c r="I46" s="19"/>
      <c r="J46" s="19"/>
      <c r="K46" s="19"/>
      <c r="L46" s="20"/>
      <c r="M46" s="13"/>
      <c r="N46" s="227"/>
      <c r="O46" s="19"/>
      <c r="P46" s="20"/>
      <c r="Q46" s="21">
        <v>3</v>
      </c>
      <c r="S46" s="23">
        <f t="shared" si="0"/>
        <v>0</v>
      </c>
      <c r="T46" s="23">
        <f t="shared" si="1"/>
        <v>0</v>
      </c>
    </row>
    <row r="47" spans="1:20" x14ac:dyDescent="0.25">
      <c r="B47" s="34" t="s">
        <v>64</v>
      </c>
      <c r="C47" s="22">
        <v>20</v>
      </c>
      <c r="D47" s="23">
        <v>60</v>
      </c>
      <c r="E47" s="23">
        <v>4</v>
      </c>
      <c r="F47" s="24">
        <v>20</v>
      </c>
      <c r="G47" s="14"/>
      <c r="H47" s="228"/>
      <c r="I47" s="23"/>
      <c r="J47" s="23"/>
      <c r="K47" s="23"/>
      <c r="L47" s="24"/>
      <c r="M47" s="14"/>
      <c r="N47" s="228"/>
      <c r="O47" s="23"/>
      <c r="P47" s="24"/>
      <c r="Q47" s="25">
        <v>3</v>
      </c>
      <c r="S47" s="23">
        <f t="shared" si="0"/>
        <v>0</v>
      </c>
      <c r="T47" s="23">
        <f t="shared" si="1"/>
        <v>0</v>
      </c>
    </row>
    <row r="48" spans="1:20" x14ac:dyDescent="0.25">
      <c r="B48" s="34" t="s">
        <v>65</v>
      </c>
      <c r="C48" s="22">
        <v>25</v>
      </c>
      <c r="D48" s="23">
        <v>40</v>
      </c>
      <c r="E48" s="23">
        <v>4</v>
      </c>
      <c r="F48" s="24">
        <v>35</v>
      </c>
      <c r="G48" s="14"/>
      <c r="H48" s="228"/>
      <c r="I48" s="23"/>
      <c r="J48" s="23"/>
      <c r="K48" s="23"/>
      <c r="L48" s="24"/>
      <c r="M48" s="14"/>
      <c r="N48" s="228"/>
      <c r="O48" s="23"/>
      <c r="P48" s="24"/>
      <c r="Q48" s="25">
        <v>4</v>
      </c>
      <c r="S48" s="23">
        <f t="shared" si="0"/>
        <v>0</v>
      </c>
      <c r="T48" s="23">
        <f t="shared" si="1"/>
        <v>0</v>
      </c>
    </row>
    <row r="49" spans="1:20" x14ac:dyDescent="0.25">
      <c r="B49" s="34" t="s">
        <v>66</v>
      </c>
      <c r="C49" s="22">
        <v>20</v>
      </c>
      <c r="D49" s="23">
        <v>30</v>
      </c>
      <c r="E49" s="23">
        <v>4</v>
      </c>
      <c r="F49" s="24">
        <v>24</v>
      </c>
      <c r="G49" s="14"/>
      <c r="H49" s="228"/>
      <c r="I49" s="23"/>
      <c r="J49" s="23"/>
      <c r="K49" s="23"/>
      <c r="L49" s="24"/>
      <c r="M49" s="14"/>
      <c r="N49" s="228"/>
      <c r="O49" s="23"/>
      <c r="P49" s="24"/>
      <c r="Q49" s="25">
        <v>4</v>
      </c>
      <c r="S49" s="23">
        <f t="shared" si="0"/>
        <v>0</v>
      </c>
      <c r="T49" s="23">
        <f t="shared" si="1"/>
        <v>0</v>
      </c>
    </row>
    <row r="50" spans="1:20" x14ac:dyDescent="0.25">
      <c r="B50" s="34" t="s">
        <v>67</v>
      </c>
      <c r="C50" s="22">
        <v>25</v>
      </c>
      <c r="D50" s="23">
        <v>40</v>
      </c>
      <c r="E50" s="23">
        <v>4</v>
      </c>
      <c r="F50" s="24">
        <v>27</v>
      </c>
      <c r="G50" s="14"/>
      <c r="H50" s="228"/>
      <c r="I50" s="23"/>
      <c r="J50" s="23"/>
      <c r="K50" s="23"/>
      <c r="L50" s="24"/>
      <c r="M50" s="14"/>
      <c r="N50" s="228"/>
      <c r="O50" s="23"/>
      <c r="P50" s="24"/>
      <c r="Q50" s="25">
        <v>4</v>
      </c>
      <c r="S50" s="23">
        <f t="shared" si="0"/>
        <v>0</v>
      </c>
      <c r="T50" s="23">
        <f t="shared" si="1"/>
        <v>0</v>
      </c>
    </row>
    <row r="51" spans="1:20" x14ac:dyDescent="0.25">
      <c r="B51" s="34" t="s">
        <v>68</v>
      </c>
      <c r="C51" s="22">
        <v>40</v>
      </c>
      <c r="D51" s="23">
        <v>60</v>
      </c>
      <c r="E51" s="23">
        <v>5</v>
      </c>
      <c r="F51" s="24">
        <v>45</v>
      </c>
      <c r="G51" s="14"/>
      <c r="H51" s="228"/>
      <c r="I51" s="23"/>
      <c r="J51" s="23"/>
      <c r="K51" s="23"/>
      <c r="L51" s="24"/>
      <c r="M51" s="14"/>
      <c r="N51" s="228"/>
      <c r="O51" s="23"/>
      <c r="P51" s="24"/>
      <c r="Q51" s="25">
        <v>6</v>
      </c>
      <c r="S51" s="23">
        <f t="shared" si="0"/>
        <v>0</v>
      </c>
      <c r="T51" s="23">
        <f t="shared" si="1"/>
        <v>0</v>
      </c>
    </row>
    <row r="52" spans="1:20" x14ac:dyDescent="0.25">
      <c r="B52" s="34" t="s">
        <v>69</v>
      </c>
      <c r="C52" s="22">
        <v>40</v>
      </c>
      <c r="D52" s="23">
        <v>60</v>
      </c>
      <c r="E52" s="23">
        <v>5</v>
      </c>
      <c r="F52" s="24">
        <v>48</v>
      </c>
      <c r="G52" s="14"/>
      <c r="H52" s="228"/>
      <c r="I52" s="23"/>
      <c r="J52" s="23"/>
      <c r="K52" s="23"/>
      <c r="L52" s="24"/>
      <c r="M52" s="14"/>
      <c r="N52" s="228"/>
      <c r="O52" s="23"/>
      <c r="P52" s="24"/>
      <c r="Q52" s="25">
        <v>6</v>
      </c>
      <c r="S52" s="23">
        <f t="shared" si="0"/>
        <v>0</v>
      </c>
      <c r="T52" s="23">
        <f t="shared" si="1"/>
        <v>0</v>
      </c>
    </row>
    <row r="53" spans="1:20" x14ac:dyDescent="0.25">
      <c r="B53" s="34" t="s">
        <v>70</v>
      </c>
      <c r="C53" s="22">
        <v>30</v>
      </c>
      <c r="D53" s="23">
        <v>65</v>
      </c>
      <c r="E53" s="23">
        <v>5</v>
      </c>
      <c r="F53" s="24">
        <v>35</v>
      </c>
      <c r="G53" s="14"/>
      <c r="H53" s="228"/>
      <c r="I53" s="23"/>
      <c r="J53" s="23"/>
      <c r="K53" s="23"/>
      <c r="L53" s="24"/>
      <c r="M53" s="14"/>
      <c r="N53" s="228"/>
      <c r="O53" s="23"/>
      <c r="P53" s="24"/>
      <c r="Q53" s="25">
        <v>6</v>
      </c>
      <c r="S53" s="23">
        <f t="shared" si="0"/>
        <v>0</v>
      </c>
      <c r="T53" s="23">
        <f t="shared" si="1"/>
        <v>0</v>
      </c>
    </row>
    <row r="54" spans="1:20" x14ac:dyDescent="0.25">
      <c r="B54" s="34" t="s">
        <v>71</v>
      </c>
      <c r="C54" s="29">
        <v>32</v>
      </c>
      <c r="D54" s="23">
        <v>46</v>
      </c>
      <c r="E54" s="23">
        <v>4</v>
      </c>
      <c r="F54" s="24">
        <v>18</v>
      </c>
      <c r="G54" s="14"/>
      <c r="H54" s="228"/>
      <c r="I54" s="23"/>
      <c r="J54" s="23"/>
      <c r="K54" s="23"/>
      <c r="L54" s="24"/>
      <c r="M54" s="14"/>
      <c r="N54" s="228"/>
      <c r="O54" s="23"/>
      <c r="P54" s="24"/>
      <c r="Q54" s="25">
        <v>3</v>
      </c>
      <c r="S54" s="23">
        <f t="shared" si="0"/>
        <v>0</v>
      </c>
      <c r="T54" s="23">
        <f t="shared" si="1"/>
        <v>0</v>
      </c>
    </row>
    <row r="55" spans="1:20" x14ac:dyDescent="0.25">
      <c r="B55" s="34" t="s">
        <v>72</v>
      </c>
      <c r="C55" s="22">
        <v>30</v>
      </c>
      <c r="D55" s="23">
        <v>90</v>
      </c>
      <c r="E55" s="23">
        <v>4</v>
      </c>
      <c r="F55" s="24">
        <v>26</v>
      </c>
      <c r="G55" s="14"/>
      <c r="H55" s="228"/>
      <c r="I55" s="23"/>
      <c r="J55" s="23"/>
      <c r="K55" s="23"/>
      <c r="L55" s="24"/>
      <c r="M55" s="14"/>
      <c r="N55" s="228"/>
      <c r="O55" s="23"/>
      <c r="P55" s="24">
        <v>8</v>
      </c>
      <c r="Q55" s="25">
        <v>2</v>
      </c>
      <c r="S55" s="23">
        <f t="shared" si="0"/>
        <v>0</v>
      </c>
      <c r="T55" s="23">
        <f t="shared" si="1"/>
        <v>0</v>
      </c>
    </row>
    <row r="56" spans="1:20" x14ac:dyDescent="0.25">
      <c r="B56" s="34" t="s">
        <v>73</v>
      </c>
      <c r="C56" s="22">
        <v>45</v>
      </c>
      <c r="D56" s="23">
        <v>75</v>
      </c>
      <c r="E56" s="23">
        <v>4</v>
      </c>
      <c r="F56" s="24">
        <v>40</v>
      </c>
      <c r="G56" s="14"/>
      <c r="H56" s="228"/>
      <c r="I56" s="23"/>
      <c r="J56" s="23"/>
      <c r="K56" s="23"/>
      <c r="L56" s="24"/>
      <c r="M56" s="14"/>
      <c r="N56" s="228"/>
      <c r="O56" s="23"/>
      <c r="P56" s="24">
        <v>16</v>
      </c>
      <c r="Q56" s="25">
        <v>6</v>
      </c>
      <c r="S56" s="23">
        <f t="shared" si="0"/>
        <v>0</v>
      </c>
      <c r="T56" s="23">
        <f t="shared" si="1"/>
        <v>0</v>
      </c>
    </row>
    <row r="57" spans="1:20" x14ac:dyDescent="0.25">
      <c r="B57" s="34" t="s">
        <v>76</v>
      </c>
      <c r="C57" s="22">
        <v>54</v>
      </c>
      <c r="D57" s="23">
        <v>78</v>
      </c>
      <c r="E57" s="23">
        <v>5</v>
      </c>
      <c r="F57" s="24">
        <v>30</v>
      </c>
      <c r="G57" s="14"/>
      <c r="H57" s="228"/>
      <c r="I57" s="23"/>
      <c r="J57" s="23"/>
      <c r="K57" s="23"/>
      <c r="L57" s="24"/>
      <c r="M57" s="14"/>
      <c r="N57" s="228"/>
      <c r="O57" s="23"/>
      <c r="P57" s="24">
        <v>8</v>
      </c>
      <c r="Q57" s="25">
        <v>6</v>
      </c>
      <c r="S57" s="23">
        <f t="shared" si="0"/>
        <v>0</v>
      </c>
      <c r="T57" s="23">
        <f t="shared" si="1"/>
        <v>0</v>
      </c>
    </row>
    <row r="58" spans="1:20" x14ac:dyDescent="0.25">
      <c r="B58" s="34" t="s">
        <v>74</v>
      </c>
      <c r="C58" s="22"/>
      <c r="D58" s="23"/>
      <c r="E58" s="23"/>
      <c r="F58" s="24"/>
      <c r="G58" s="14"/>
      <c r="H58" s="228">
        <v>60</v>
      </c>
      <c r="I58" s="23">
        <v>80</v>
      </c>
      <c r="J58" s="23">
        <v>10</v>
      </c>
      <c r="K58" s="23">
        <v>7</v>
      </c>
      <c r="L58" s="24">
        <v>40</v>
      </c>
      <c r="M58" s="14"/>
      <c r="N58" s="228">
        <v>30</v>
      </c>
      <c r="O58" s="23">
        <f t="shared" si="2"/>
        <v>3</v>
      </c>
      <c r="P58" s="24"/>
      <c r="Q58" s="25">
        <v>6</v>
      </c>
      <c r="S58" s="23">
        <v>4</v>
      </c>
      <c r="T58" s="23">
        <f t="shared" si="1"/>
        <v>10</v>
      </c>
    </row>
    <row r="59" spans="1:20" ht="15.75" thickBot="1" x14ac:dyDescent="0.3">
      <c r="B59" s="41" t="s">
        <v>75</v>
      </c>
      <c r="C59" s="134"/>
      <c r="D59" s="42"/>
      <c r="E59" s="42"/>
      <c r="F59" s="43"/>
      <c r="G59" s="16"/>
      <c r="H59" s="229">
        <v>80</v>
      </c>
      <c r="I59" s="26">
        <v>100</v>
      </c>
      <c r="J59" s="26">
        <v>10</v>
      </c>
      <c r="K59" s="26">
        <v>7</v>
      </c>
      <c r="L59" s="27">
        <v>35</v>
      </c>
      <c r="M59" s="16"/>
      <c r="N59" s="229">
        <v>30</v>
      </c>
      <c r="O59" s="26">
        <f t="shared" si="2"/>
        <v>3</v>
      </c>
      <c r="P59" s="27"/>
      <c r="Q59" s="28">
        <v>6</v>
      </c>
      <c r="S59" s="23">
        <v>4</v>
      </c>
      <c r="T59" s="23">
        <f t="shared" si="1"/>
        <v>10</v>
      </c>
    </row>
    <row r="60" spans="1:20" x14ac:dyDescent="0.25">
      <c r="A60" s="55" t="s">
        <v>77</v>
      </c>
      <c r="B60" s="44" t="s">
        <v>78</v>
      </c>
      <c r="C60" s="45">
        <v>1</v>
      </c>
      <c r="D60" s="46">
        <v>1</v>
      </c>
      <c r="E60" s="46">
        <v>3</v>
      </c>
      <c r="F60" s="47">
        <v>1</v>
      </c>
    </row>
    <row r="61" spans="1:20" x14ac:dyDescent="0.25">
      <c r="A61" s="56"/>
      <c r="B61" s="48" t="s">
        <v>79</v>
      </c>
      <c r="C61" s="49">
        <v>9</v>
      </c>
      <c r="D61" s="50">
        <v>19</v>
      </c>
      <c r="E61" s="50">
        <v>3</v>
      </c>
      <c r="F61" s="51">
        <v>1</v>
      </c>
    </row>
    <row r="62" spans="1:20" x14ac:dyDescent="0.25">
      <c r="A62" s="56"/>
      <c r="B62" s="48" t="s">
        <v>80</v>
      </c>
      <c r="C62" s="49">
        <v>20</v>
      </c>
      <c r="D62" s="50">
        <v>36</v>
      </c>
      <c r="E62" s="50">
        <v>4</v>
      </c>
      <c r="F62" s="51">
        <v>1</v>
      </c>
    </row>
    <row r="63" spans="1:20" x14ac:dyDescent="0.25">
      <c r="A63" s="56"/>
      <c r="B63" s="48" t="s">
        <v>81</v>
      </c>
      <c r="C63" s="49">
        <v>16</v>
      </c>
      <c r="D63" s="50">
        <v>24</v>
      </c>
      <c r="E63" s="50">
        <v>4</v>
      </c>
      <c r="F63" s="51">
        <v>1</v>
      </c>
    </row>
    <row r="64" spans="1:20" x14ac:dyDescent="0.25">
      <c r="A64" s="56"/>
      <c r="B64" s="48" t="s">
        <v>82</v>
      </c>
      <c r="C64" s="49">
        <v>8</v>
      </c>
      <c r="D64" s="50">
        <v>16</v>
      </c>
      <c r="E64" s="50">
        <v>4</v>
      </c>
      <c r="F64" s="51">
        <v>2</v>
      </c>
    </row>
    <row r="65" spans="1:6" x14ac:dyDescent="0.25">
      <c r="A65" s="56"/>
      <c r="B65" s="48" t="s">
        <v>83</v>
      </c>
      <c r="C65" s="49">
        <v>9</v>
      </c>
      <c r="D65" s="50">
        <v>19</v>
      </c>
      <c r="E65" s="50">
        <v>3</v>
      </c>
      <c r="F65" s="51">
        <v>1</v>
      </c>
    </row>
    <row r="66" spans="1:6" x14ac:dyDescent="0.25">
      <c r="A66" s="56"/>
      <c r="B66" s="48" t="s">
        <v>84</v>
      </c>
      <c r="C66" s="49">
        <v>13</v>
      </c>
      <c r="D66" s="50">
        <v>17</v>
      </c>
      <c r="E66" s="50">
        <v>4</v>
      </c>
      <c r="F66" s="51">
        <v>2</v>
      </c>
    </row>
    <row r="67" spans="1:6" x14ac:dyDescent="0.25">
      <c r="A67" s="56"/>
      <c r="B67" s="48" t="s">
        <v>85</v>
      </c>
      <c r="C67" s="49">
        <v>1</v>
      </c>
      <c r="D67" s="50">
        <v>2</v>
      </c>
      <c r="E67" s="50">
        <v>3</v>
      </c>
      <c r="F67" s="51">
        <v>1</v>
      </c>
    </row>
    <row r="68" spans="1:6" x14ac:dyDescent="0.25">
      <c r="A68" s="56"/>
      <c r="B68" s="48" t="s">
        <v>86</v>
      </c>
      <c r="C68" s="49">
        <v>8</v>
      </c>
      <c r="D68" s="50">
        <v>16</v>
      </c>
      <c r="E68" s="50">
        <v>3</v>
      </c>
      <c r="F68" s="51">
        <v>1</v>
      </c>
    </row>
    <row r="69" spans="1:6" x14ac:dyDescent="0.25">
      <c r="A69" s="56"/>
      <c r="B69" s="48" t="s">
        <v>87</v>
      </c>
      <c r="C69" s="49">
        <v>6</v>
      </c>
      <c r="D69" s="50">
        <v>15</v>
      </c>
      <c r="E69" s="50">
        <v>4</v>
      </c>
      <c r="F69" s="51">
        <v>2</v>
      </c>
    </row>
    <row r="70" spans="1:6" x14ac:dyDescent="0.25">
      <c r="A70" s="56"/>
      <c r="B70" s="48" t="s">
        <v>88</v>
      </c>
      <c r="C70" s="49">
        <v>11</v>
      </c>
      <c r="D70" s="50">
        <v>16</v>
      </c>
      <c r="E70" s="50">
        <v>4</v>
      </c>
      <c r="F70" s="51">
        <v>2</v>
      </c>
    </row>
    <row r="71" spans="1:6" x14ac:dyDescent="0.25">
      <c r="A71" s="56"/>
      <c r="B71" s="48" t="s">
        <v>89</v>
      </c>
      <c r="C71" s="49">
        <v>5</v>
      </c>
      <c r="D71" s="50">
        <v>15</v>
      </c>
      <c r="E71" s="50">
        <v>3</v>
      </c>
      <c r="F71" s="51">
        <v>1</v>
      </c>
    </row>
    <row r="72" spans="1:6" x14ac:dyDescent="0.25">
      <c r="A72" s="56"/>
      <c r="B72" s="48" t="s">
        <v>90</v>
      </c>
      <c r="C72" s="49">
        <v>4</v>
      </c>
      <c r="D72" s="50">
        <v>8</v>
      </c>
      <c r="E72" s="50">
        <v>4</v>
      </c>
      <c r="F72" s="51">
        <v>2</v>
      </c>
    </row>
    <row r="73" spans="1:6" x14ac:dyDescent="0.25">
      <c r="A73" s="56"/>
      <c r="B73" s="48" t="s">
        <v>91</v>
      </c>
      <c r="C73" s="49">
        <v>11</v>
      </c>
      <c r="D73" s="50">
        <v>21</v>
      </c>
      <c r="E73" s="50">
        <v>4</v>
      </c>
      <c r="F73" s="51">
        <v>2</v>
      </c>
    </row>
    <row r="74" spans="1:6" x14ac:dyDescent="0.25">
      <c r="A74" s="56"/>
      <c r="B74" s="48" t="s">
        <v>92</v>
      </c>
      <c r="C74" s="49">
        <v>12</v>
      </c>
      <c r="D74" s="50">
        <v>20</v>
      </c>
      <c r="E74" s="50">
        <v>4</v>
      </c>
      <c r="F74" s="51">
        <v>2</v>
      </c>
    </row>
    <row r="75" spans="1:6" x14ac:dyDescent="0.25">
      <c r="A75" s="56"/>
      <c r="B75" s="48" t="s">
        <v>93</v>
      </c>
      <c r="C75" s="49">
        <v>11</v>
      </c>
      <c r="D75" s="50">
        <v>19</v>
      </c>
      <c r="E75" s="50">
        <v>4</v>
      </c>
      <c r="F75" s="51">
        <v>1</v>
      </c>
    </row>
    <row r="76" spans="1:6" x14ac:dyDescent="0.25">
      <c r="A76" s="56"/>
      <c r="B76" s="48" t="s">
        <v>94</v>
      </c>
      <c r="C76" s="49">
        <v>16</v>
      </c>
      <c r="D76" s="50">
        <v>31</v>
      </c>
      <c r="E76" s="50">
        <v>3</v>
      </c>
      <c r="F76" s="51">
        <v>1</v>
      </c>
    </row>
    <row r="77" spans="1:6" x14ac:dyDescent="0.25">
      <c r="A77" s="56"/>
      <c r="B77" s="48" t="s">
        <v>95</v>
      </c>
      <c r="C77" s="49">
        <v>18</v>
      </c>
      <c r="D77" s="50">
        <v>28</v>
      </c>
      <c r="E77" s="50">
        <v>4</v>
      </c>
      <c r="F77" s="51">
        <v>2</v>
      </c>
    </row>
    <row r="78" spans="1:6" x14ac:dyDescent="0.25">
      <c r="A78" s="56"/>
      <c r="B78" s="48" t="s">
        <v>96</v>
      </c>
      <c r="C78" s="49">
        <v>14</v>
      </c>
      <c r="D78" s="50">
        <v>28</v>
      </c>
      <c r="E78" s="50">
        <v>3</v>
      </c>
      <c r="F78" s="51">
        <v>1</v>
      </c>
    </row>
    <row r="79" spans="1:6" x14ac:dyDescent="0.25">
      <c r="A79" s="56"/>
      <c r="B79" s="48" t="s">
        <v>97</v>
      </c>
      <c r="C79" s="49">
        <v>15</v>
      </c>
      <c r="D79" s="50">
        <v>34</v>
      </c>
      <c r="E79" s="50">
        <v>3</v>
      </c>
      <c r="F79" s="51">
        <v>1</v>
      </c>
    </row>
    <row r="80" spans="1:6" x14ac:dyDescent="0.25">
      <c r="A80" s="56"/>
      <c r="B80" s="48" t="s">
        <v>98</v>
      </c>
      <c r="C80" s="49">
        <v>13</v>
      </c>
      <c r="D80" s="50">
        <v>37</v>
      </c>
      <c r="E80" s="50">
        <v>3</v>
      </c>
      <c r="F80" s="51">
        <v>2</v>
      </c>
    </row>
    <row r="81" spans="1:6" x14ac:dyDescent="0.25">
      <c r="A81" s="56"/>
      <c r="B81" s="48" t="s">
        <v>99</v>
      </c>
      <c r="C81" s="49">
        <v>24</v>
      </c>
      <c r="D81" s="50">
        <v>41</v>
      </c>
      <c r="E81" s="50">
        <v>3</v>
      </c>
      <c r="F81" s="51">
        <v>1</v>
      </c>
    </row>
    <row r="82" spans="1:6" x14ac:dyDescent="0.25">
      <c r="A82" s="56"/>
      <c r="B82" s="48" t="s">
        <v>100</v>
      </c>
      <c r="C82" s="49">
        <v>25</v>
      </c>
      <c r="D82" s="50">
        <v>46</v>
      </c>
      <c r="E82" s="50">
        <v>3</v>
      </c>
      <c r="F82" s="51">
        <v>1</v>
      </c>
    </row>
    <row r="83" spans="1:6" x14ac:dyDescent="0.25">
      <c r="A83" s="56"/>
      <c r="B83" s="48" t="s">
        <v>101</v>
      </c>
      <c r="C83" s="49">
        <v>29</v>
      </c>
      <c r="D83" s="50">
        <v>50</v>
      </c>
      <c r="E83" s="50">
        <v>3</v>
      </c>
      <c r="F83" s="51">
        <v>1</v>
      </c>
    </row>
    <row r="84" spans="1:6" x14ac:dyDescent="0.25">
      <c r="A84" s="56"/>
      <c r="B84" s="48" t="s">
        <v>102</v>
      </c>
      <c r="C84" s="49">
        <v>45</v>
      </c>
      <c r="D84" s="50">
        <v>45</v>
      </c>
      <c r="E84" s="50">
        <v>3</v>
      </c>
      <c r="F84" s="51">
        <v>1</v>
      </c>
    </row>
    <row r="85" spans="1:6" x14ac:dyDescent="0.25">
      <c r="A85" s="56"/>
      <c r="B85" s="48" t="s">
        <v>103</v>
      </c>
      <c r="C85" s="49">
        <v>31</v>
      </c>
      <c r="D85" s="50">
        <v>55</v>
      </c>
      <c r="E85" s="50">
        <v>3</v>
      </c>
      <c r="F85" s="51">
        <v>2</v>
      </c>
    </row>
    <row r="86" spans="1:6" x14ac:dyDescent="0.25">
      <c r="A86" s="56"/>
      <c r="B86" s="48" t="s">
        <v>104</v>
      </c>
      <c r="C86" s="49">
        <v>20</v>
      </c>
      <c r="D86" s="50">
        <v>40</v>
      </c>
      <c r="E86" s="50">
        <v>3</v>
      </c>
      <c r="F86" s="51">
        <v>1</v>
      </c>
    </row>
    <row r="87" spans="1:6" x14ac:dyDescent="0.25">
      <c r="A87" s="56"/>
      <c r="B87" s="48" t="s">
        <v>105</v>
      </c>
      <c r="C87" s="49">
        <v>20</v>
      </c>
      <c r="D87" s="50">
        <v>40</v>
      </c>
      <c r="E87" s="50">
        <v>2</v>
      </c>
      <c r="F87" s="51">
        <v>1</v>
      </c>
    </row>
    <row r="88" spans="1:6" x14ac:dyDescent="0.25">
      <c r="A88" s="56"/>
      <c r="B88" s="48" t="s">
        <v>106</v>
      </c>
      <c r="C88" s="49">
        <v>40</v>
      </c>
      <c r="D88" s="50">
        <v>70</v>
      </c>
      <c r="E88" s="50">
        <v>4</v>
      </c>
      <c r="F88" s="51">
        <v>1</v>
      </c>
    </row>
    <row r="89" spans="1:6" x14ac:dyDescent="0.25">
      <c r="A89" s="56"/>
      <c r="B89" s="48" t="s">
        <v>107</v>
      </c>
      <c r="C89" s="49">
        <v>30</v>
      </c>
      <c r="D89" s="50">
        <v>60</v>
      </c>
      <c r="E89" s="50">
        <v>3</v>
      </c>
      <c r="F89" s="51">
        <v>1</v>
      </c>
    </row>
    <row r="90" spans="1:6" x14ac:dyDescent="0.25">
      <c r="A90" s="56"/>
      <c r="B90" s="48" t="s">
        <v>108</v>
      </c>
      <c r="C90" s="49">
        <v>8</v>
      </c>
      <c r="D90" s="50">
        <v>15</v>
      </c>
      <c r="E90" s="50">
        <v>3</v>
      </c>
      <c r="F90" s="51">
        <v>1</v>
      </c>
    </row>
    <row r="91" spans="1:6" x14ac:dyDescent="0.25">
      <c r="A91" s="56"/>
      <c r="B91" s="48" t="s">
        <v>109</v>
      </c>
      <c r="C91" s="49">
        <v>5</v>
      </c>
      <c r="D91" s="50">
        <v>9</v>
      </c>
      <c r="E91" s="50">
        <v>2</v>
      </c>
      <c r="F91" s="51">
        <v>1</v>
      </c>
    </row>
    <row r="92" spans="1:6" x14ac:dyDescent="0.25">
      <c r="A92" s="56"/>
      <c r="B92" s="48" t="s">
        <v>110</v>
      </c>
      <c r="C92" s="49">
        <v>6</v>
      </c>
      <c r="D92" s="50">
        <v>9</v>
      </c>
      <c r="E92" s="50">
        <v>3</v>
      </c>
      <c r="F92" s="51">
        <v>1</v>
      </c>
    </row>
    <row r="93" spans="1:6" x14ac:dyDescent="0.25">
      <c r="A93" s="57" t="s">
        <v>111</v>
      </c>
      <c r="B93" s="58" t="s">
        <v>85</v>
      </c>
      <c r="C93" s="59">
        <v>1</v>
      </c>
      <c r="D93" s="60">
        <v>3</v>
      </c>
      <c r="E93" s="60">
        <v>4</v>
      </c>
      <c r="F93" s="61">
        <v>8</v>
      </c>
    </row>
    <row r="94" spans="1:6" x14ac:dyDescent="0.25">
      <c r="B94" s="58" t="s">
        <v>109</v>
      </c>
      <c r="C94" s="59">
        <v>5</v>
      </c>
      <c r="D94" s="60">
        <v>9</v>
      </c>
      <c r="E94" s="60">
        <v>4</v>
      </c>
      <c r="F94" s="61">
        <v>15</v>
      </c>
    </row>
    <row r="95" spans="1:6" x14ac:dyDescent="0.25">
      <c r="B95" s="58" t="s">
        <v>88</v>
      </c>
      <c r="C95" s="59">
        <v>11</v>
      </c>
      <c r="D95" s="60">
        <v>16</v>
      </c>
      <c r="E95" s="60">
        <v>6</v>
      </c>
      <c r="F95" s="61">
        <v>15</v>
      </c>
    </row>
    <row r="96" spans="1:6" x14ac:dyDescent="0.25">
      <c r="B96" s="58" t="s">
        <v>95</v>
      </c>
      <c r="C96" s="59">
        <v>18</v>
      </c>
      <c r="D96" s="60">
        <v>28</v>
      </c>
      <c r="E96" s="60">
        <v>5</v>
      </c>
      <c r="F96" s="61">
        <v>15</v>
      </c>
    </row>
    <row r="97" spans="1:6" x14ac:dyDescent="0.25">
      <c r="B97" s="58" t="s">
        <v>92</v>
      </c>
      <c r="C97" s="59">
        <v>12</v>
      </c>
      <c r="D97" s="60">
        <v>20</v>
      </c>
      <c r="E97" s="60">
        <v>5</v>
      </c>
      <c r="F97" s="61">
        <v>15</v>
      </c>
    </row>
    <row r="98" spans="1:6" x14ac:dyDescent="0.25">
      <c r="B98" s="58" t="s">
        <v>112</v>
      </c>
      <c r="C98" s="59">
        <v>34</v>
      </c>
      <c r="D98" s="60">
        <v>52</v>
      </c>
      <c r="E98" s="60">
        <v>5</v>
      </c>
      <c r="F98" s="61">
        <v>12</v>
      </c>
    </row>
    <row r="99" spans="1:6" x14ac:dyDescent="0.25">
      <c r="B99" s="58" t="s">
        <v>97</v>
      </c>
      <c r="C99" s="59">
        <v>25</v>
      </c>
      <c r="D99" s="60">
        <v>40</v>
      </c>
      <c r="E99" s="60">
        <v>3</v>
      </c>
      <c r="F99" s="61">
        <v>16</v>
      </c>
    </row>
    <row r="100" spans="1:6" x14ac:dyDescent="0.25">
      <c r="B100" s="58" t="s">
        <v>113</v>
      </c>
      <c r="C100" s="59">
        <v>80</v>
      </c>
      <c r="D100" s="60">
        <v>100</v>
      </c>
      <c r="E100" s="60">
        <v>4</v>
      </c>
      <c r="F100" s="61">
        <v>15</v>
      </c>
    </row>
    <row r="101" spans="1:6" x14ac:dyDescent="0.25">
      <c r="B101" s="58" t="s">
        <v>114</v>
      </c>
      <c r="C101" s="59">
        <v>80</v>
      </c>
      <c r="D101" s="60">
        <v>100</v>
      </c>
      <c r="E101" s="60">
        <v>4</v>
      </c>
      <c r="F101" s="61">
        <v>15</v>
      </c>
    </row>
    <row r="102" spans="1:6" x14ac:dyDescent="0.25">
      <c r="B102" s="58" t="s">
        <v>115</v>
      </c>
      <c r="C102" s="59">
        <v>300</v>
      </c>
      <c r="D102" s="60">
        <v>400</v>
      </c>
      <c r="E102" s="60">
        <v>4</v>
      </c>
      <c r="F102" s="61">
        <v>15</v>
      </c>
    </row>
    <row r="103" spans="1:6" x14ac:dyDescent="0.25">
      <c r="B103" s="58" t="s">
        <v>110</v>
      </c>
      <c r="C103" s="59">
        <v>4</v>
      </c>
      <c r="D103" s="60">
        <v>9</v>
      </c>
      <c r="E103" s="60">
        <v>4</v>
      </c>
      <c r="F103" s="61">
        <v>8</v>
      </c>
    </row>
    <row r="104" spans="1:6" ht="15.75" thickBot="1" x14ac:dyDescent="0.3">
      <c r="B104" s="62" t="s">
        <v>116</v>
      </c>
      <c r="C104" s="63">
        <v>1</v>
      </c>
      <c r="D104" s="64">
        <v>1</v>
      </c>
      <c r="E104" s="64">
        <v>2</v>
      </c>
      <c r="F104" s="65">
        <v>15</v>
      </c>
    </row>
    <row r="111" spans="1:6" x14ac:dyDescent="0.25">
      <c r="A111" s="86" t="s">
        <v>282</v>
      </c>
      <c r="B111" s="86" t="s">
        <v>258</v>
      </c>
      <c r="C111" s="86" t="s">
        <v>259</v>
      </c>
      <c r="D111" s="86" t="s">
        <v>253</v>
      </c>
      <c r="E111" s="86" t="s">
        <v>254</v>
      </c>
    </row>
    <row r="112" spans="1:6" x14ac:dyDescent="0.25">
      <c r="B112" s="86">
        <v>0</v>
      </c>
      <c r="C112" s="86">
        <v>0</v>
      </c>
      <c r="D112" s="86">
        <v>0</v>
      </c>
      <c r="E112" s="86">
        <v>0</v>
      </c>
    </row>
    <row r="113" spans="1:5" x14ac:dyDescent="0.25">
      <c r="B113" s="86">
        <v>1</v>
      </c>
      <c r="C113" s="86">
        <v>1</v>
      </c>
      <c r="D113" s="86">
        <v>1</v>
      </c>
      <c r="E113" s="86">
        <v>1</v>
      </c>
    </row>
    <row r="114" spans="1:5" x14ac:dyDescent="0.25">
      <c r="B114" s="86">
        <v>2</v>
      </c>
      <c r="C114" s="86">
        <v>2</v>
      </c>
      <c r="D114" s="86">
        <v>2</v>
      </c>
      <c r="E114" s="86">
        <v>2</v>
      </c>
    </row>
    <row r="115" spans="1:5" x14ac:dyDescent="0.25">
      <c r="D115" s="86">
        <v>3</v>
      </c>
      <c r="E115" s="86">
        <v>3</v>
      </c>
    </row>
    <row r="116" spans="1:5" x14ac:dyDescent="0.25">
      <c r="D116" s="86">
        <v>4</v>
      </c>
      <c r="E116" s="86">
        <v>4</v>
      </c>
    </row>
    <row r="117" spans="1:5" x14ac:dyDescent="0.25">
      <c r="D117" s="86">
        <v>5</v>
      </c>
      <c r="E117" s="86">
        <v>5</v>
      </c>
    </row>
    <row r="118" spans="1:5" x14ac:dyDescent="0.25">
      <c r="D118" s="86">
        <v>6</v>
      </c>
      <c r="E118" s="86">
        <v>6</v>
      </c>
    </row>
    <row r="119" spans="1:5" x14ac:dyDescent="0.25">
      <c r="D119" s="86">
        <v>7</v>
      </c>
      <c r="E119" s="86">
        <v>7</v>
      </c>
    </row>
    <row r="120" spans="1:5" x14ac:dyDescent="0.25">
      <c r="D120" s="86">
        <v>8</v>
      </c>
      <c r="E120" s="86">
        <v>8</v>
      </c>
    </row>
    <row r="121" spans="1:5" x14ac:dyDescent="0.25">
      <c r="D121" s="86">
        <v>9</v>
      </c>
      <c r="E121" s="86">
        <v>9</v>
      </c>
    </row>
    <row r="122" spans="1:5" x14ac:dyDescent="0.25">
      <c r="E122" s="86">
        <v>10</v>
      </c>
    </row>
    <row r="126" spans="1:5" x14ac:dyDescent="0.25">
      <c r="A126" s="86" t="s">
        <v>283</v>
      </c>
      <c r="B126" s="86" t="s">
        <v>258</v>
      </c>
      <c r="C126" s="86" t="s">
        <v>259</v>
      </c>
    </row>
    <row r="127" spans="1:5" x14ac:dyDescent="0.25">
      <c r="B127" s="86">
        <v>0</v>
      </c>
      <c r="C127" s="86">
        <v>0</v>
      </c>
    </row>
    <row r="128" spans="1:5" x14ac:dyDescent="0.25">
      <c r="B128" s="86">
        <v>1</v>
      </c>
      <c r="C128" s="86">
        <v>1</v>
      </c>
    </row>
    <row r="129" spans="1:3" x14ac:dyDescent="0.25">
      <c r="B129" s="86">
        <v>2</v>
      </c>
      <c r="C129" s="86">
        <v>2</v>
      </c>
    </row>
    <row r="130" spans="1:3" x14ac:dyDescent="0.25">
      <c r="B130" s="86">
        <v>3</v>
      </c>
      <c r="C130" s="86">
        <v>3</v>
      </c>
    </row>
    <row r="131" spans="1:3" x14ac:dyDescent="0.25">
      <c r="B131" s="86">
        <v>4</v>
      </c>
      <c r="C131" s="86">
        <v>4</v>
      </c>
    </row>
    <row r="132" spans="1:3" x14ac:dyDescent="0.25">
      <c r="B132" s="86">
        <v>5</v>
      </c>
      <c r="C132" s="86">
        <v>5</v>
      </c>
    </row>
    <row r="133" spans="1:3" x14ac:dyDescent="0.25">
      <c r="B133" s="86">
        <v>6</v>
      </c>
      <c r="C133" s="86">
        <v>6</v>
      </c>
    </row>
    <row r="134" spans="1:3" x14ac:dyDescent="0.25">
      <c r="B134" s="86">
        <v>7</v>
      </c>
      <c r="C134" s="86">
        <v>7</v>
      </c>
    </row>
    <row r="135" spans="1:3" x14ac:dyDescent="0.25">
      <c r="B135" s="86">
        <v>8</v>
      </c>
      <c r="C135" s="86">
        <v>8</v>
      </c>
    </row>
    <row r="136" spans="1:3" x14ac:dyDescent="0.25">
      <c r="B136" s="86">
        <v>9</v>
      </c>
      <c r="C136" s="86">
        <v>9</v>
      </c>
    </row>
    <row r="137" spans="1:3" x14ac:dyDescent="0.25">
      <c r="B137" s="86">
        <v>10</v>
      </c>
      <c r="C137" s="86">
        <v>10</v>
      </c>
    </row>
    <row r="140" spans="1:3" x14ac:dyDescent="0.25">
      <c r="A140" s="86" t="s">
        <v>291</v>
      </c>
    </row>
    <row r="141" spans="1:3" x14ac:dyDescent="0.25">
      <c r="B141" s="86" t="s">
        <v>290</v>
      </c>
    </row>
    <row r="142" spans="1:3" x14ac:dyDescent="0.25">
      <c r="B142" s="86">
        <f>IF('DMG PLANNER'!$B$13=B7,H7,IF('DMG PLANNER'!$B$13=B8,H8,IF('DMG PLANNER'!$B$13=B16,H16,IF('DMG PLANNER'!$B$13=B17,H17,IF('DMG PLANNER'!$B$13=B18,H18,IF('DMG PLANNER'!$B$13=B21,H21,IF('DMG PLANNER'!$B$13=B24,H24,IF('DMG PLANNER'!$B$13=B25,H25,IF('DMG PLANNER'!$B$13=B26,H26,IF('DMG PLANNER'!$B$13=B27,H27,IF('DMG PLANNER'!$B$13=B28,H28,IF('DMG PLANNER'!$B$13=B30,H30,IF('DMG PLANNER'!$B$13=B31,H31,IF('DMG PLANNER'!$B$13=B32,H32,IF('DMG PLANNER'!$B$13=B33,H33,IF('DMG PLANNER'!$B$13=B34,H34,IF('DMG PLANNER'!$B$13=B37,H37,IF('DMG PLANNER'!$B$13=B38,H38,IF('DMG PLANNER'!$B$13=B39,H39,IF('DMG PLANNER'!$B$13=B40,H40,IF('DMG PLANNER'!$B$13=B41,H41,IF('DMG PLANNER'!$B$13=B42,H42,IF('DMG PLANNER'!$B$13=B43,H43,IF('DMG PLANNER'!$B$13=B44,H44,IF('DMG PLANNER'!$B$13=B45,H45,IF('DMG PLANNER'!$B$13=B58,H58,IF('DMG PLANNER'!$B$13=B59,H59,"No Burst Weapon")))))))))))))))))))))))))))</f>
        <v>0</v>
      </c>
    </row>
    <row r="144" spans="1:3" x14ac:dyDescent="0.25">
      <c r="B144" s="86" t="s">
        <v>294</v>
      </c>
    </row>
    <row r="145" spans="1:2" x14ac:dyDescent="0.25">
      <c r="B145" s="86">
        <f>IF('DMG PLANNER'!$B$13=B7,I7,IF('DMG PLANNER'!$B$13=B8,I8,IF('DMG PLANNER'!$B$13=B16,I16,IF('DMG PLANNER'!$B$13=B17,I17,IF('DMG PLANNER'!$B$13=B18,I18,IF('DMG PLANNER'!$B$13=B21,I21,IF('DMG PLANNER'!$B$13=B24,I24,IF('DMG PLANNER'!$B$13=B25,I25,IF('DMG PLANNER'!$B$13=B26,I26,IF('DMG PLANNER'!$B$13=B27,I27,IF('DMG PLANNER'!$B$13=B28,I28,IF('DMG PLANNER'!$B$13=B30,I30,IF('DMG PLANNER'!$B$13=B31,I31,IF('DMG PLANNER'!$B$13=B32,I32,IF('DMG PLANNER'!$B$13=B33,I33,IF('DMG PLANNER'!$B$13=B34,I34,IF('DMG PLANNER'!$B$13=B37,I37,IF('DMG PLANNER'!$B$13=B38,I38,IF('DMG PLANNER'!$B$13=B39,I39,IF('DMG PLANNER'!$B$13=B40,I40,IF('DMG PLANNER'!$B$13=B41,I41,IF('DMG PLANNER'!$B$13=B42,I42,IF('DMG PLANNER'!$B$13=B43,I43,IF('DMG PLANNER'!$B$13=B44,I44,IF('DMG PLANNER'!$B$13=B45,I45,IF('DMG PLANNER'!$B$13=B58,I58,IF('DMG PLANNER'!$B$13=B59,I59,"No Burst Weapon")))))))))))))))))))))))))))</f>
        <v>0</v>
      </c>
    </row>
    <row r="149" spans="1:2" x14ac:dyDescent="0.25">
      <c r="A149" s="86" t="s">
        <v>299</v>
      </c>
    </row>
    <row r="150" spans="1:2" x14ac:dyDescent="0.25">
      <c r="B150" s="86" t="s">
        <v>290</v>
      </c>
    </row>
    <row r="151" spans="1:2" x14ac:dyDescent="0.25">
      <c r="B151" s="86">
        <f>IF('DMG PLANNER'!$B$13=B4,C4,IF('DMG PLANNER'!$B$13=B5,C5,IF('DMG PLANNER'!$B$13=B6,C6,IF('DMG PLANNER'!$B$13=B7,C7,IF('DMG PLANNER'!$B$13=B8,C8,IF('DMG PLANNER'!$B$13=B9,C9,IF('DMG PLANNER'!$B$13=B10,C10,IF('DMG PLANNER'!$B$13=B11,C11,IF('DMG PLANNER'!$B$13=B12,C12,IF('DMG PLANNER'!$B$13=B13,C13,IF('DMG PLANNER'!$B$13=B14,C14,IF('DMG PLANNER'!$B$13=B15,C15,IF('DMG PLANNER'!$B$13=B16,C16,IF('DMG PLANNER'!$B$13=B17,C17,IF('DMG PLANNER'!$B$13=B18,C18,IF('DMG PLANNER'!$B$13=B19,C19,IF('DMG PLANNER'!$B$13=B20,C20,IF('DMG PLANNER'!$B$13=B21,C21,IF('DMG PLANNER'!$B$13=B22,C22,IF('DMG PLANNER'!$B$13=B23,C23,IF('DMG PLANNER'!$B$13=B24,C24,IF('DMG PLANNER'!$B$13=B25,C25,IF('DMG PLANNER'!$B$13=B26,C26,IF('DMG PLANNER'!$B$13=B27,C27,IF('DMG PLANNER'!$B$13=B28,C28,IF('DMG PLANNER'!$B$13=B29,C29,IF('DMG PLANNER'!$B$13=B30,C30,IF('DMG PLANNER'!$B$13=B31,C31,IF('DMG PLANNER'!$B$13=B32,C32,IF('DMG PLANNER'!$B$13=B33,C33,IF('DMG PLANNER'!$B$13=B34,C34,IF('DMG PLANNER'!$B$13=B35,C35,IF('DMG PLANNER'!$B$13=B36,C36,IF('DMG PLANNER'!$B$13=B44,C44,IF('DMG PLANNER'!$B$13=B46,C46,IF('DMG PLANNER'!$B$13=B47,C47,IF('DMG PLANNER'!$B$13=B48,C48,IF('DMG PLANNER'!$B$13=B49,C49,IF('DMG PLANNER'!$B$13=B50,C50,IF('DMG PLANNER'!$B$13=B51,C51,IF('DMG PLANNER'!$B$13=B52,C52,IF('DMG PLANNER'!$B$13=B53,C53,IF('DMG PLANNER'!$B$13=B54,C54,IF('DMG PLANNER'!$B$13=B55,C55,IF('DMG PLANNER'!$B$13=B56,C56,IF('DMG PLANNER'!$B$13=B57,C57,"No Single Shots"))))))))))))))))))))))))))))))))))))))))))))))</f>
        <v>20</v>
      </c>
    </row>
    <row r="153" spans="1:2" x14ac:dyDescent="0.25">
      <c r="B153" s="86" t="s">
        <v>295</v>
      </c>
    </row>
    <row r="154" spans="1:2" x14ac:dyDescent="0.25">
      <c r="B154" s="86">
        <f>IF('DMG PLANNER'!$B$13=B4,D4,IF('DMG PLANNER'!$B$13=B5,D5,IF('DMG PLANNER'!$B$13=B6,D6,IF('DMG PLANNER'!$B$13=B7,D7,IF('DMG PLANNER'!$B$13=B8,D8,IF('DMG PLANNER'!$B$13=B9,D9,IF('DMG PLANNER'!$B$13=B10,D10,IF('DMG PLANNER'!$B$13=B11,D11,IF('DMG PLANNER'!$B$13=B12,D12,IF('DMG PLANNER'!$B$13=B13,D13,IF('DMG PLANNER'!$B$13=B14,D14,IF('DMG PLANNER'!$B$13=B15,D15,IF('DMG PLANNER'!$B$13=B16,D16,IF('DMG PLANNER'!$B$13=B17,D17,IF('DMG PLANNER'!$B$13=B18,D18,IF('DMG PLANNER'!$B$13=B19,D19,IF('DMG PLANNER'!$B$13=B20,D20,IF('DMG PLANNER'!$B$13=B21,D21,IF('DMG PLANNER'!$B$13=B22,D22,IF('DMG PLANNER'!$B$13=B23,D23,IF('DMG PLANNER'!$B$13=B24,D24,IF('DMG PLANNER'!$B$13=B25,D25,IF('DMG PLANNER'!$B$13=B26,D26,IF('DMG PLANNER'!$B$13=B27,D27,IF('DMG PLANNER'!$B$13=B28,D28,IF('DMG PLANNER'!$B$13=B29,D29,IF('DMG PLANNER'!$B$13=B30,D30,IF('DMG PLANNER'!$B$13=B31,D31,IF('DMG PLANNER'!$B$13=B32,D32,IF('DMG PLANNER'!$B$13=B33,D33,IF('DMG PLANNER'!$B$13=B34,D34,IF('DMG PLANNER'!$B$13=B35,D35,IF('DMG PLANNER'!$B$13=B36,D36,IF('DMG PLANNER'!$B$13=B44,D44,IF('DMG PLANNER'!$B$13=B46,D46,IF('DMG PLANNER'!$B$13=B47,D47,IF('DMG PLANNER'!$B$13=B48,D48,IF('DMG PLANNER'!$B$13=B49,D49,IF('DMG PLANNER'!$B$13=B50,D50,IF('DMG PLANNER'!$B$13=B51,D51,IF('DMG PLANNER'!$B$13=B52,D52,IF('DMG PLANNER'!$B$13=B53,D53,IF('DMG PLANNER'!$B$13=B54,D54,IF('DMG PLANNER'!$B$13=B55,D55,IF('DMG PLANNER'!$B$13=B56,D56,IF('DMG PLANNER'!$B$13=B57,D57,"No Single Shots"))))))))))))))))))))))))))))))))))))))))))))))</f>
        <v>40</v>
      </c>
    </row>
    <row r="157" spans="1:2" x14ac:dyDescent="0.25">
      <c r="A157" s="86" t="s">
        <v>300</v>
      </c>
      <c r="B157" s="86" t="s">
        <v>290</v>
      </c>
    </row>
    <row r="158" spans="1:2" x14ac:dyDescent="0.25">
      <c r="B158" s="86" t="str">
        <f>IF('DMG PLANNER'!$B$13=B60,C60,IF('DMG PLANNER'!$B$13=B61,C61,IF('DMG PLANNER'!$B$13=B62,C62,IF('DMG PLANNER'!$B$13=B63,C63,IF('DMG PLANNER'!$B$13=B64,C64,IF('DMG PLANNER'!$B$13=B65,C65,IF('DMG PLANNER'!$B$13=B66,C66,IF('DMG PLANNER'!$B$13=B67,C67,IF('DMG PLANNER'!$B$13=B68,C68,IF('DMG PLANNER'!$B$13=B69,C69,IF('DMG PLANNER'!$B$13=B70,C70,IF('DMG PLANNER'!$B$13=B71,C71,IF('DMG PLANNER'!$B$13=B72,C72,IF('DMG PLANNER'!$B$13=B73,C73,IF('DMG PLANNER'!$B$13=B74,C74,IF('DMG PLANNER'!$B$13=B75,C75,IF('DMG PLANNER'!$B$13=B76,C76,IF('DMG PLANNER'!$B$13=B77,C77,IF('DMG PLANNER'!$B$13=B78,C78,IF('DMG PLANNER'!$B$13=B79,C79,IF('DMG PLANNER'!$B$13=B80,C80,IF('DMG PLANNER'!$B$13=B81,C81,IF('DMG PLANNER'!$B$13=B82,C82,IF('DMG PLANNER'!$B$13=B83,C83,IF('DMG PLANNER'!$B$13=B84,C84,IF('DMG PLANNER'!$B$13=B85,C85,IF('DMG PLANNER'!$B$13=B86,C86,IF('DMG PLANNER'!$B$13=B87,C87,IF('DMG PLANNER'!$B$13=B88,C88,IF('DMG PLANNER'!$B$13=B89,C89,IF('DMG PLANNER'!$B$13=B90,C90,IF('DMG PLANNER'!$B$13=B91,C91,IF('DMG PLANNER'!$B$13=B92,C92,IF('DMG PLANNER'!$B$13=B93,C93,IF('DMG PLANNER'!$B$13=B94,C94,IF('DMG PLANNER'!$B$13=B95,C95,IF('DMG PLANNER'!$B$13=B96,C96,IF('DMG PLANNER'!$B$13=B97,C97,IF('DMG PLANNER'!$B$13=B98,C98,IF('DMG PLANNER'!$B$13=B99,C99,IF('DMG PLANNER'!$B$13=B103,C103,IF('DMG PLANNER'!$B$13=B104,C104,"No Meelee"))))))))))))))))))))))))))))))))))))))))))</f>
        <v>No Meelee</v>
      </c>
    </row>
    <row r="160" spans="1:2" x14ac:dyDescent="0.25">
      <c r="B160" s="86" t="s">
        <v>295</v>
      </c>
    </row>
    <row r="161" spans="2:2" x14ac:dyDescent="0.25">
      <c r="B161" s="86" t="str">
        <f>IF('DMG PLANNER'!$B$13=B60,D60,IF('DMG PLANNER'!$B$13=B61,D61,IF('DMG PLANNER'!$B$13=B62,D62,IF('DMG PLANNER'!$B$13=B63,D63,IF('DMG PLANNER'!$B$13=B64,D64,IF('DMG PLANNER'!$B$13=B65,D65,IF('DMG PLANNER'!$B$13=B66,D66,IF('DMG PLANNER'!$B$13=B67,D67,IF('DMG PLANNER'!$B$13=B68,D68,IF('DMG PLANNER'!$B$13=B69,D69,IF('DMG PLANNER'!$B$13=B70,D70,IF('DMG PLANNER'!$B$13=B71,D71,IF('DMG PLANNER'!$B$13=B72,D72,IF('DMG PLANNER'!$B$13=B73,D73,IF('DMG PLANNER'!$B$13=B74,D74,IF('DMG PLANNER'!$B$13=B75,D75,IF('DMG PLANNER'!$B$13=B76,D76,IF('DMG PLANNER'!$B$13=B77,D77,IF('DMG PLANNER'!$B$13=B78,D78,IF('DMG PLANNER'!$B$13=B79,D79,IF('DMG PLANNER'!$B$13=B80,D80,IF('DMG PLANNER'!$B$13=B81,D81,IF('DMG PLANNER'!$B$13=B82,D82,IF('DMG PLANNER'!$B$13=B83,D83,IF('DMG PLANNER'!$B$13=B84,D84,IF('DMG PLANNER'!$B$13=B85,D85,IF('DMG PLANNER'!$B$13=B86,D86,IF('DMG PLANNER'!$B$13=B87,D87,IF('DMG PLANNER'!$B$13=B88,D88,IF('DMG PLANNER'!$B$13=B89,D89,IF('DMG PLANNER'!$B$13=B90,D90,IF('DMG PLANNER'!$B$13=B91,D91,IF('DMG PLANNER'!$B$13=B92,D92,IF('DMG PLANNER'!$B$13=B93,D93,IF('DMG PLANNER'!$B$13=B94,D94,IF('DMG PLANNER'!$B$13=B95,D95,IF('DMG PLANNER'!$B$13=B96,D96,IF('DMG PLANNER'!$B$13=B97,D97,IF('DMG PLANNER'!$B$13=B98,D98,IF('DMG PLANNER'!$B$13=B99,D99,IF('DMG PLANNER'!$B$13=B103,D103,IF('DMG PLANNER'!$B$13=B104,D104,"No Meelee"))))))))))))))))))))))))))))))))))))))))))</f>
        <v>No Meelee</v>
      </c>
    </row>
  </sheetData>
  <mergeCells count="5">
    <mergeCell ref="C2:F2"/>
    <mergeCell ref="H2:L2"/>
    <mergeCell ref="S2:T2"/>
    <mergeCell ref="V2:W2"/>
    <mergeCell ref="N2:Q2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0"/>
  <sheetViews>
    <sheetView workbookViewId="0">
      <selection activeCell="H29" sqref="H29"/>
    </sheetView>
  </sheetViews>
  <sheetFormatPr defaultRowHeight="15" x14ac:dyDescent="0.25"/>
  <cols>
    <col min="1" max="1" width="9.140625" style="86"/>
    <col min="2" max="2" width="23.28515625" style="86" bestFit="1" customWidth="1"/>
    <col min="3" max="3" width="8.85546875" style="86" bestFit="1" customWidth="1"/>
    <col min="4" max="4" width="10.28515625" style="86" bestFit="1" customWidth="1"/>
    <col min="5" max="5" width="8.28515625" style="86" bestFit="1" customWidth="1"/>
    <col min="6" max="6" width="14.28515625" style="86" bestFit="1" customWidth="1"/>
    <col min="7" max="16384" width="9.140625" style="86"/>
  </cols>
  <sheetData>
    <row r="3" spans="1:6" ht="15.75" thickBot="1" x14ac:dyDescent="0.3"/>
    <row r="4" spans="1:6" ht="15.75" thickBot="1" x14ac:dyDescent="0.3">
      <c r="A4" s="180" t="s">
        <v>117</v>
      </c>
      <c r="B4" s="70" t="s">
        <v>143</v>
      </c>
      <c r="C4" s="71" t="s">
        <v>144</v>
      </c>
      <c r="D4" s="71" t="s">
        <v>146</v>
      </c>
      <c r="E4" s="181" t="s">
        <v>145</v>
      </c>
      <c r="F4" s="185" t="s">
        <v>286</v>
      </c>
    </row>
    <row r="5" spans="1:6" x14ac:dyDescent="0.25">
      <c r="B5" s="72" t="s">
        <v>118</v>
      </c>
      <c r="C5" s="73">
        <v>1</v>
      </c>
      <c r="D5" s="74">
        <v>0</v>
      </c>
      <c r="E5" s="182">
        <v>0</v>
      </c>
      <c r="F5" s="75" t="s">
        <v>288</v>
      </c>
    </row>
    <row r="6" spans="1:6" x14ac:dyDescent="0.25">
      <c r="B6" s="76" t="s">
        <v>119</v>
      </c>
      <c r="C6" s="77">
        <v>1</v>
      </c>
      <c r="D6" s="78">
        <v>-30</v>
      </c>
      <c r="E6" s="183">
        <v>-20</v>
      </c>
      <c r="F6" s="79" t="s">
        <v>288</v>
      </c>
    </row>
    <row r="7" spans="1:6" x14ac:dyDescent="0.25">
      <c r="B7" s="76" t="s">
        <v>120</v>
      </c>
      <c r="C7" s="77">
        <v>1</v>
      </c>
      <c r="D7" s="78">
        <v>0</v>
      </c>
      <c r="E7" s="183">
        <v>-30</v>
      </c>
      <c r="F7" s="79" t="s">
        <v>288</v>
      </c>
    </row>
    <row r="8" spans="1:6" x14ac:dyDescent="0.25">
      <c r="B8" s="76" t="s">
        <v>121</v>
      </c>
      <c r="C8" s="80">
        <v>2</v>
      </c>
      <c r="D8" s="78">
        <v>30</v>
      </c>
      <c r="E8" s="183">
        <v>0</v>
      </c>
      <c r="F8" s="79" t="s">
        <v>288</v>
      </c>
    </row>
    <row r="9" spans="1:6" x14ac:dyDescent="0.25">
      <c r="B9" s="76" t="s">
        <v>122</v>
      </c>
      <c r="C9" s="77">
        <v>1</v>
      </c>
      <c r="D9" s="78">
        <v>-35</v>
      </c>
      <c r="E9" s="183">
        <v>0</v>
      </c>
      <c r="F9" s="79" t="s">
        <v>287</v>
      </c>
    </row>
    <row r="10" spans="1:6" x14ac:dyDescent="0.25">
      <c r="B10" s="76" t="s">
        <v>123</v>
      </c>
      <c r="C10" s="77">
        <v>2</v>
      </c>
      <c r="D10" s="78">
        <v>40</v>
      </c>
      <c r="E10" s="183">
        <v>0</v>
      </c>
      <c r="F10" s="79" t="s">
        <v>288</v>
      </c>
    </row>
    <row r="11" spans="1:6" x14ac:dyDescent="0.25">
      <c r="B11" s="76" t="s">
        <v>124</v>
      </c>
      <c r="C11" s="77">
        <v>0.66666666666666663</v>
      </c>
      <c r="D11" s="78">
        <v>-35</v>
      </c>
      <c r="E11" s="183">
        <v>0</v>
      </c>
      <c r="F11" s="79" t="s">
        <v>287</v>
      </c>
    </row>
    <row r="12" spans="1:6" x14ac:dyDescent="0.25">
      <c r="B12" s="76" t="s">
        <v>125</v>
      </c>
      <c r="C12" s="77">
        <v>3</v>
      </c>
      <c r="D12" s="78">
        <v>50</v>
      </c>
      <c r="E12" s="183">
        <v>0</v>
      </c>
      <c r="F12" s="79" t="s">
        <v>288</v>
      </c>
    </row>
    <row r="13" spans="1:6" x14ac:dyDescent="0.25">
      <c r="B13" s="76" t="s">
        <v>126</v>
      </c>
      <c r="C13" s="77">
        <v>1</v>
      </c>
      <c r="D13" s="78">
        <v>-20</v>
      </c>
      <c r="E13" s="183">
        <v>0</v>
      </c>
      <c r="F13" s="79" t="s">
        <v>288</v>
      </c>
    </row>
    <row r="14" spans="1:6" x14ac:dyDescent="0.25">
      <c r="B14" s="76" t="s">
        <v>127</v>
      </c>
      <c r="C14" s="81">
        <v>1.2</v>
      </c>
      <c r="D14" s="78">
        <v>-15</v>
      </c>
      <c r="E14" s="183">
        <v>-5</v>
      </c>
      <c r="F14" s="79" t="s">
        <v>288</v>
      </c>
    </row>
    <row r="15" spans="1:6" x14ac:dyDescent="0.25">
      <c r="B15" s="76" t="s">
        <v>128</v>
      </c>
      <c r="C15" s="77">
        <v>1</v>
      </c>
      <c r="D15" s="78">
        <v>0</v>
      </c>
      <c r="E15" s="183">
        <v>0</v>
      </c>
      <c r="F15" s="79" t="s">
        <v>288</v>
      </c>
    </row>
    <row r="16" spans="1:6" x14ac:dyDescent="0.25">
      <c r="B16" s="76" t="s">
        <v>129</v>
      </c>
      <c r="C16" s="77">
        <v>1</v>
      </c>
      <c r="D16" s="78">
        <v>0</v>
      </c>
      <c r="E16" s="183">
        <v>-20</v>
      </c>
      <c r="F16" s="79" t="s">
        <v>288</v>
      </c>
    </row>
    <row r="17" spans="2:6" x14ac:dyDescent="0.25">
      <c r="B17" s="76" t="s">
        <v>130</v>
      </c>
      <c r="C17" s="77">
        <v>1</v>
      </c>
      <c r="D17" s="78">
        <v>-40</v>
      </c>
      <c r="E17" s="183">
        <v>-20</v>
      </c>
      <c r="F17" s="79" t="s">
        <v>288</v>
      </c>
    </row>
    <row r="18" spans="2:6" x14ac:dyDescent="0.25">
      <c r="B18" s="76" t="s">
        <v>131</v>
      </c>
      <c r="C18" s="77">
        <v>1</v>
      </c>
      <c r="D18" s="78">
        <v>-15</v>
      </c>
      <c r="E18" s="183">
        <v>0</v>
      </c>
      <c r="F18" s="79" t="s">
        <v>288</v>
      </c>
    </row>
    <row r="19" spans="2:6" x14ac:dyDescent="0.25">
      <c r="B19" s="76" t="s">
        <v>132</v>
      </c>
      <c r="C19" s="77">
        <v>1</v>
      </c>
      <c r="D19" s="78">
        <v>0</v>
      </c>
      <c r="E19" s="183">
        <v>-10</v>
      </c>
      <c r="F19" s="79" t="s">
        <v>288</v>
      </c>
    </row>
    <row r="20" spans="2:6" x14ac:dyDescent="0.25">
      <c r="B20" s="76" t="s">
        <v>133</v>
      </c>
      <c r="C20" s="77">
        <v>1</v>
      </c>
      <c r="D20" s="78">
        <v>-50</v>
      </c>
      <c r="E20" s="183">
        <v>0</v>
      </c>
      <c r="F20" s="79" t="s">
        <v>287</v>
      </c>
    </row>
    <row r="21" spans="2:6" x14ac:dyDescent="0.25">
      <c r="B21" s="76" t="s">
        <v>134</v>
      </c>
      <c r="C21" s="77">
        <v>1</v>
      </c>
      <c r="D21" s="78">
        <v>0</v>
      </c>
      <c r="E21" s="183">
        <v>0</v>
      </c>
      <c r="F21" s="79" t="s">
        <v>288</v>
      </c>
    </row>
    <row r="22" spans="2:6" x14ac:dyDescent="0.25">
      <c r="B22" s="76" t="s">
        <v>135</v>
      </c>
      <c r="C22" s="77">
        <v>1</v>
      </c>
      <c r="D22" s="78">
        <v>-30</v>
      </c>
      <c r="E22" s="183">
        <v>-15</v>
      </c>
      <c r="F22" s="79" t="s">
        <v>287</v>
      </c>
    </row>
    <row r="23" spans="2:6" x14ac:dyDescent="0.25">
      <c r="B23" s="76" t="s">
        <v>136</v>
      </c>
      <c r="C23" s="77">
        <v>1</v>
      </c>
      <c r="D23" s="78">
        <v>0</v>
      </c>
      <c r="E23" s="183">
        <v>0</v>
      </c>
      <c r="F23" s="79" t="s">
        <v>288</v>
      </c>
    </row>
    <row r="24" spans="2:6" x14ac:dyDescent="0.25">
      <c r="B24" s="76" t="s">
        <v>303</v>
      </c>
      <c r="C24" s="77">
        <v>1</v>
      </c>
      <c r="D24" s="78">
        <v>-35</v>
      </c>
      <c r="E24" s="183">
        <v>0</v>
      </c>
      <c r="F24" s="79" t="s">
        <v>288</v>
      </c>
    </row>
    <row r="25" spans="2:6" x14ac:dyDescent="0.25">
      <c r="B25" s="76" t="s">
        <v>137</v>
      </c>
      <c r="C25" s="80">
        <v>1.5</v>
      </c>
      <c r="D25" s="78">
        <v>-20</v>
      </c>
      <c r="E25" s="183">
        <v>-5</v>
      </c>
      <c r="F25" s="79" t="s">
        <v>288</v>
      </c>
    </row>
    <row r="26" spans="2:6" x14ac:dyDescent="0.25">
      <c r="B26" s="76" t="s">
        <v>138</v>
      </c>
      <c r="C26" s="77">
        <v>1.5</v>
      </c>
      <c r="D26" s="78">
        <v>-20</v>
      </c>
      <c r="E26" s="183">
        <v>-30</v>
      </c>
      <c r="F26" s="79" t="s">
        <v>288</v>
      </c>
    </row>
    <row r="27" spans="2:6" x14ac:dyDescent="0.25">
      <c r="B27" s="76" t="s">
        <v>139</v>
      </c>
      <c r="C27" s="77">
        <v>1</v>
      </c>
      <c r="D27" s="78">
        <v>0</v>
      </c>
      <c r="E27" s="183">
        <v>0</v>
      </c>
      <c r="F27" s="79" t="s">
        <v>288</v>
      </c>
    </row>
    <row r="28" spans="2:6" x14ac:dyDescent="0.25">
      <c r="B28" s="76" t="s">
        <v>140</v>
      </c>
      <c r="C28" s="77">
        <v>1</v>
      </c>
      <c r="D28" s="78">
        <v>0</v>
      </c>
      <c r="E28" s="183">
        <v>0</v>
      </c>
      <c r="F28" s="79" t="s">
        <v>288</v>
      </c>
    </row>
    <row r="29" spans="2:6" x14ac:dyDescent="0.25">
      <c r="B29" s="76" t="s">
        <v>141</v>
      </c>
      <c r="C29" s="77">
        <v>2</v>
      </c>
      <c r="D29" s="78">
        <v>0</v>
      </c>
      <c r="E29" s="183">
        <v>-10</v>
      </c>
      <c r="F29" s="79" t="s">
        <v>287</v>
      </c>
    </row>
    <row r="30" spans="2:6" ht="15.75" thickBot="1" x14ac:dyDescent="0.3">
      <c r="B30" s="82" t="s">
        <v>142</v>
      </c>
      <c r="C30" s="83">
        <v>1</v>
      </c>
      <c r="D30" s="84">
        <v>-30</v>
      </c>
      <c r="E30" s="184">
        <v>-20</v>
      </c>
      <c r="F30" s="85" t="s">
        <v>288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69"/>
  <sheetViews>
    <sheetView workbookViewId="0">
      <selection activeCell="F15" sqref="F15"/>
    </sheetView>
  </sheetViews>
  <sheetFormatPr defaultRowHeight="15" x14ac:dyDescent="0.25"/>
  <cols>
    <col min="1" max="1" width="9.140625" style="86"/>
    <col min="2" max="2" width="17.85546875" style="86" bestFit="1" customWidth="1"/>
    <col min="3" max="3" width="12.140625" style="86" bestFit="1" customWidth="1"/>
    <col min="4" max="16384" width="9.140625" style="86"/>
  </cols>
  <sheetData>
    <row r="4" spans="2:5" x14ac:dyDescent="0.25">
      <c r="B4" s="86" t="s">
        <v>197</v>
      </c>
      <c r="C4" s="86" t="s">
        <v>215</v>
      </c>
      <c r="D4" s="86" t="s">
        <v>216</v>
      </c>
      <c r="E4" s="86" t="s">
        <v>217</v>
      </c>
    </row>
    <row r="5" spans="2:5" x14ac:dyDescent="0.25">
      <c r="B5" s="86" t="s">
        <v>213</v>
      </c>
      <c r="C5" s="86">
        <v>4</v>
      </c>
      <c r="D5" s="86">
        <v>4</v>
      </c>
    </row>
    <row r="6" spans="2:5" x14ac:dyDescent="0.25">
      <c r="B6" s="86" t="s">
        <v>214</v>
      </c>
      <c r="E6" s="86">
        <v>5</v>
      </c>
    </row>
    <row r="7" spans="2:5" x14ac:dyDescent="0.25">
      <c r="B7" s="86" t="s">
        <v>206</v>
      </c>
    </row>
    <row r="10" spans="2:5" x14ac:dyDescent="0.25">
      <c r="B10" s="86" t="s">
        <v>218</v>
      </c>
    </row>
    <row r="11" spans="2:5" x14ac:dyDescent="0.25">
      <c r="B11" s="86">
        <v>1</v>
      </c>
    </row>
    <row r="12" spans="2:5" x14ac:dyDescent="0.25">
      <c r="B12" s="86">
        <v>2</v>
      </c>
    </row>
    <row r="13" spans="2:5" x14ac:dyDescent="0.25">
      <c r="B13" s="86">
        <v>3</v>
      </c>
    </row>
    <row r="14" spans="2:5" x14ac:dyDescent="0.25">
      <c r="B14" s="86">
        <v>4</v>
      </c>
    </row>
    <row r="15" spans="2:5" x14ac:dyDescent="0.25">
      <c r="B15" s="86">
        <v>5</v>
      </c>
    </row>
    <row r="16" spans="2:5" x14ac:dyDescent="0.25">
      <c r="B16" s="86">
        <v>6</v>
      </c>
    </row>
    <row r="17" spans="2:3" x14ac:dyDescent="0.25">
      <c r="B17" s="86">
        <v>7</v>
      </c>
    </row>
    <row r="18" spans="2:3" x14ac:dyDescent="0.25">
      <c r="B18" s="86">
        <v>8</v>
      </c>
    </row>
    <row r="19" spans="2:3" x14ac:dyDescent="0.25">
      <c r="B19" s="86">
        <v>9</v>
      </c>
    </row>
    <row r="20" spans="2:3" x14ac:dyDescent="0.25">
      <c r="B20" s="86">
        <v>10</v>
      </c>
    </row>
    <row r="23" spans="2:3" x14ac:dyDescent="0.25">
      <c r="B23" s="86" t="s">
        <v>220</v>
      </c>
      <c r="C23" s="86" t="s">
        <v>261</v>
      </c>
    </row>
    <row r="24" spans="2:3" x14ac:dyDescent="0.25">
      <c r="B24" s="86" t="s">
        <v>209</v>
      </c>
      <c r="C24" s="86">
        <v>3</v>
      </c>
    </row>
    <row r="25" spans="2:3" x14ac:dyDescent="0.25">
      <c r="B25" s="86" t="s">
        <v>210</v>
      </c>
      <c r="C25" s="86">
        <v>0</v>
      </c>
    </row>
    <row r="28" spans="2:3" x14ac:dyDescent="0.25">
      <c r="B28" s="86" t="s">
        <v>223</v>
      </c>
      <c r="C28" s="86" t="s">
        <v>261</v>
      </c>
    </row>
    <row r="29" spans="2:3" x14ac:dyDescent="0.25">
      <c r="B29" s="86">
        <v>0</v>
      </c>
      <c r="C29" s="86">
        <v>0</v>
      </c>
    </row>
    <row r="30" spans="2:3" x14ac:dyDescent="0.25">
      <c r="B30" s="86">
        <v>1</v>
      </c>
      <c r="C30" s="86">
        <v>8</v>
      </c>
    </row>
    <row r="31" spans="2:3" x14ac:dyDescent="0.25">
      <c r="B31" s="86">
        <v>2</v>
      </c>
      <c r="C31" s="86">
        <v>16</v>
      </c>
    </row>
    <row r="33" spans="2:4" x14ac:dyDescent="0.25">
      <c r="B33" s="86" t="s">
        <v>222</v>
      </c>
      <c r="C33" s="86" t="s">
        <v>260</v>
      </c>
    </row>
    <row r="34" spans="2:4" x14ac:dyDescent="0.25">
      <c r="B34" s="86" t="s">
        <v>209</v>
      </c>
      <c r="C34" s="86">
        <v>20</v>
      </c>
    </row>
    <row r="35" spans="2:4" x14ac:dyDescent="0.25">
      <c r="B35" s="86" t="s">
        <v>210</v>
      </c>
      <c r="C35" s="86">
        <v>0</v>
      </c>
    </row>
    <row r="37" spans="2:4" x14ac:dyDescent="0.25">
      <c r="B37" s="86" t="s">
        <v>235</v>
      </c>
    </row>
    <row r="38" spans="2:4" x14ac:dyDescent="0.25">
      <c r="B38" s="86">
        <v>0</v>
      </c>
      <c r="C38" s="86">
        <v>0</v>
      </c>
    </row>
    <row r="39" spans="2:4" x14ac:dyDescent="0.25">
      <c r="B39" s="86">
        <v>1</v>
      </c>
      <c r="C39" s="86">
        <v>2</v>
      </c>
    </row>
    <row r="40" spans="2:4" x14ac:dyDescent="0.25">
      <c r="B40" s="86">
        <v>2</v>
      </c>
      <c r="C40" s="86">
        <v>4</v>
      </c>
    </row>
    <row r="43" spans="2:4" x14ac:dyDescent="0.25">
      <c r="B43" s="86" t="s">
        <v>230</v>
      </c>
      <c r="C43" s="86" t="s">
        <v>216</v>
      </c>
      <c r="D43" s="86" t="s">
        <v>241</v>
      </c>
    </row>
    <row r="44" spans="2:4" x14ac:dyDescent="0.25">
      <c r="B44" s="86" t="s">
        <v>209</v>
      </c>
      <c r="C44" s="86">
        <v>10</v>
      </c>
      <c r="D44" s="86">
        <v>30</v>
      </c>
    </row>
    <row r="45" spans="2:4" x14ac:dyDescent="0.25">
      <c r="B45" s="86" t="s">
        <v>210</v>
      </c>
    </row>
    <row r="47" spans="2:4" x14ac:dyDescent="0.25">
      <c r="B47" s="86" t="s">
        <v>231</v>
      </c>
      <c r="C47" s="86" t="s">
        <v>242</v>
      </c>
    </row>
    <row r="48" spans="2:4" x14ac:dyDescent="0.25">
      <c r="B48" s="86" t="s">
        <v>209</v>
      </c>
      <c r="C48" s="86">
        <v>5</v>
      </c>
    </row>
    <row r="49" spans="2:4" x14ac:dyDescent="0.25">
      <c r="B49" s="86" t="s">
        <v>210</v>
      </c>
      <c r="C49" s="86">
        <v>0</v>
      </c>
    </row>
    <row r="51" spans="2:4" x14ac:dyDescent="0.25">
      <c r="B51" s="86" t="s">
        <v>232</v>
      </c>
      <c r="C51" s="86" t="s">
        <v>242</v>
      </c>
    </row>
    <row r="52" spans="2:4" x14ac:dyDescent="0.25">
      <c r="B52" s="86" t="s">
        <v>209</v>
      </c>
      <c r="C52" s="86">
        <v>5</v>
      </c>
    </row>
    <row r="53" spans="2:4" x14ac:dyDescent="0.25">
      <c r="B53" s="86" t="s">
        <v>210</v>
      </c>
      <c r="C53" s="86">
        <v>0</v>
      </c>
    </row>
    <row r="55" spans="2:4" x14ac:dyDescent="0.25">
      <c r="B55" s="86" t="s">
        <v>233</v>
      </c>
      <c r="C55" s="86" t="s">
        <v>243</v>
      </c>
      <c r="D55" s="86" t="s">
        <v>244</v>
      </c>
    </row>
    <row r="56" spans="2:4" x14ac:dyDescent="0.25">
      <c r="B56" s="86" t="s">
        <v>209</v>
      </c>
      <c r="C56" s="86">
        <v>10</v>
      </c>
      <c r="D56" s="86">
        <v>-30</v>
      </c>
    </row>
    <row r="57" spans="2:4" x14ac:dyDescent="0.25">
      <c r="B57" s="86" t="s">
        <v>210</v>
      </c>
      <c r="C57" s="86">
        <v>0</v>
      </c>
      <c r="D57" s="86">
        <v>0</v>
      </c>
    </row>
    <row r="59" spans="2:4" x14ac:dyDescent="0.25">
      <c r="B59" s="86" t="s">
        <v>234</v>
      </c>
      <c r="C59" s="86" t="s">
        <v>245</v>
      </c>
      <c r="D59" s="86" t="s">
        <v>246</v>
      </c>
    </row>
    <row r="60" spans="2:4" x14ac:dyDescent="0.25">
      <c r="B60" s="86" t="s">
        <v>209</v>
      </c>
      <c r="C60" s="86">
        <v>1.1000000000000001</v>
      </c>
      <c r="D60" s="86">
        <v>-10</v>
      </c>
    </row>
    <row r="61" spans="2:4" x14ac:dyDescent="0.25">
      <c r="B61" s="86" t="s">
        <v>210</v>
      </c>
      <c r="C61" s="86">
        <v>0</v>
      </c>
      <c r="D61" s="86">
        <v>0</v>
      </c>
    </row>
    <row r="63" spans="2:4" x14ac:dyDescent="0.25">
      <c r="B63" s="86" t="s">
        <v>247</v>
      </c>
      <c r="C63" s="86" t="s">
        <v>242</v>
      </c>
    </row>
    <row r="64" spans="2:4" x14ac:dyDescent="0.25">
      <c r="B64" s="86" t="s">
        <v>209</v>
      </c>
      <c r="C64" s="86">
        <v>5</v>
      </c>
    </row>
    <row r="65" spans="2:4" x14ac:dyDescent="0.25">
      <c r="B65" s="86" t="s">
        <v>210</v>
      </c>
      <c r="C65" s="86">
        <v>0</v>
      </c>
    </row>
    <row r="67" spans="2:4" x14ac:dyDescent="0.25">
      <c r="B67" s="86" t="s">
        <v>237</v>
      </c>
      <c r="C67" s="86" t="s">
        <v>248</v>
      </c>
      <c r="D67" s="86" t="s">
        <v>249</v>
      </c>
    </row>
    <row r="68" spans="2:4" x14ac:dyDescent="0.25">
      <c r="B68" s="86" t="s">
        <v>209</v>
      </c>
      <c r="C68" s="86">
        <v>50</v>
      </c>
      <c r="D68" s="86">
        <v>25</v>
      </c>
    </row>
    <row r="69" spans="2:4" x14ac:dyDescent="0.25">
      <c r="B69" s="86" t="s">
        <v>210</v>
      </c>
      <c r="C69" s="86">
        <v>0</v>
      </c>
      <c r="D69" s="86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1"/>
  <sheetViews>
    <sheetView topLeftCell="A36" workbookViewId="0">
      <selection activeCell="B70" sqref="B70:B71"/>
    </sheetView>
  </sheetViews>
  <sheetFormatPr defaultRowHeight="15" x14ac:dyDescent="0.25"/>
  <cols>
    <col min="1" max="1" width="9.140625" style="12"/>
    <col min="2" max="2" width="11.7109375" style="12" bestFit="1" customWidth="1"/>
    <col min="3" max="3" width="10.5703125" style="12" bestFit="1" customWidth="1"/>
    <col min="4" max="16384" width="9.140625" style="12"/>
  </cols>
  <sheetData>
    <row r="2" spans="2:9" x14ac:dyDescent="0.25">
      <c r="B2" s="12" t="s">
        <v>190</v>
      </c>
      <c r="C2" s="12" t="s">
        <v>50</v>
      </c>
      <c r="E2" s="12" t="s">
        <v>205</v>
      </c>
    </row>
    <row r="3" spans="2:9" x14ac:dyDescent="0.25">
      <c r="B3" s="12">
        <v>0</v>
      </c>
      <c r="C3" s="12">
        <v>0</v>
      </c>
      <c r="E3" s="12">
        <f>IF('DMG PLANNER'!$C$53=0,$C$3,IF('DMG PLANNER'!$C$53=1,$C$4,IF('DMG PLANNER'!$C$53=2,$C$5)))</f>
        <v>16</v>
      </c>
    </row>
    <row r="4" spans="2:9" x14ac:dyDescent="0.25">
      <c r="B4" s="12">
        <v>1</v>
      </c>
      <c r="C4" s="12">
        <v>8</v>
      </c>
    </row>
    <row r="5" spans="2:9" x14ac:dyDescent="0.25">
      <c r="B5" s="12">
        <v>2</v>
      </c>
      <c r="C5" s="12">
        <v>16</v>
      </c>
    </row>
    <row r="8" spans="2:9" x14ac:dyDescent="0.25">
      <c r="B8" s="12" t="s">
        <v>181</v>
      </c>
      <c r="C8" s="12" t="s">
        <v>202</v>
      </c>
      <c r="F8" s="12" t="s">
        <v>212</v>
      </c>
    </row>
    <row r="9" spans="2:9" x14ac:dyDescent="0.25">
      <c r="B9" s="12" t="s">
        <v>200</v>
      </c>
      <c r="C9" s="12">
        <v>18</v>
      </c>
      <c r="F9" s="12">
        <f>IF('DMG PLANNER'!$E$53="NO",'TARGET STATS'!$C$10,IF('DMG PLANNER'!$E$53="Yes",'TARGET STATS'!$C$9))</f>
        <v>0</v>
      </c>
    </row>
    <row r="10" spans="2:9" x14ac:dyDescent="0.25">
      <c r="B10" s="12" t="s">
        <v>201</v>
      </c>
      <c r="C10" s="12">
        <v>0</v>
      </c>
    </row>
    <row r="11" spans="2:9" x14ac:dyDescent="0.25">
      <c r="F11" s="12" t="s">
        <v>182</v>
      </c>
      <c r="I11" s="12" t="s">
        <v>50</v>
      </c>
    </row>
    <row r="12" spans="2:9" x14ac:dyDescent="0.25">
      <c r="B12" s="12" t="s">
        <v>197</v>
      </c>
      <c r="C12" s="12" t="s">
        <v>182</v>
      </c>
      <c r="D12" s="12" t="s">
        <v>50</v>
      </c>
      <c r="F12" s="12" t="s">
        <v>207</v>
      </c>
      <c r="I12" s="12" t="s">
        <v>207</v>
      </c>
    </row>
    <row r="13" spans="2:9" x14ac:dyDescent="0.25">
      <c r="B13" s="12" t="s">
        <v>206</v>
      </c>
      <c r="C13" s="12">
        <v>0</v>
      </c>
      <c r="D13" s="12">
        <v>0</v>
      </c>
      <c r="F13" s="12">
        <f>IF('DMG PLANNER'!$D$53="No Implant",'TARGET STATS'!$C$13,IF('DMG PLANNER'!$D$53="Defence",'TARGET STATS'!$C$14))</f>
        <v>0</v>
      </c>
      <c r="I13" s="12">
        <f>IF('DMG PLANNER'!$D$53="No Implant",'TARGET STATS'!$D$13,IF('DMG PLANNER'!$D$53="Defence",'TARGET STATS'!$D$14))</f>
        <v>0</v>
      </c>
    </row>
    <row r="14" spans="2:9" x14ac:dyDescent="0.25">
      <c r="B14" s="12" t="s">
        <v>198</v>
      </c>
      <c r="C14" s="12">
        <v>2</v>
      </c>
      <c r="D14" s="12">
        <v>4</v>
      </c>
    </row>
    <row r="16" spans="2:9" x14ac:dyDescent="0.25">
      <c r="F16" s="12" t="s">
        <v>50</v>
      </c>
    </row>
    <row r="17" spans="2:6" x14ac:dyDescent="0.25">
      <c r="B17" s="12" t="s">
        <v>208</v>
      </c>
      <c r="C17" s="12" t="s">
        <v>50</v>
      </c>
      <c r="F17" s="12" t="s">
        <v>211</v>
      </c>
    </row>
    <row r="18" spans="2:6" x14ac:dyDescent="0.25">
      <c r="B18" s="12" t="s">
        <v>209</v>
      </c>
      <c r="C18" s="12">
        <v>20</v>
      </c>
      <c r="F18" s="12">
        <f>IF('DMG PLANNER'!$F$53="NO",'TARGET STATS'!$C$19,IF('DMG PLANNER'!$F$53="Yes",'TARGET STATS'!$C$18))</f>
        <v>0</v>
      </c>
    </row>
    <row r="19" spans="2:6" x14ac:dyDescent="0.25">
      <c r="B19" s="12" t="s">
        <v>210</v>
      </c>
      <c r="C19" s="12">
        <v>0</v>
      </c>
    </row>
    <row r="22" spans="2:6" x14ac:dyDescent="0.25">
      <c r="B22" s="12" t="s">
        <v>240</v>
      </c>
      <c r="C22" s="12" t="s">
        <v>182</v>
      </c>
      <c r="D22" s="12" t="s">
        <v>50</v>
      </c>
    </row>
    <row r="23" spans="2:6" x14ac:dyDescent="0.25">
      <c r="B23" s="12" t="s">
        <v>209</v>
      </c>
      <c r="C23" s="12">
        <v>2</v>
      </c>
      <c r="D23" s="12">
        <v>5</v>
      </c>
      <c r="E23" s="12" t="s">
        <v>191</v>
      </c>
    </row>
    <row r="24" spans="2:6" x14ac:dyDescent="0.25">
      <c r="B24" s="12" t="s">
        <v>210</v>
      </c>
      <c r="C24" s="12">
        <v>1</v>
      </c>
      <c r="D24" s="12">
        <v>20</v>
      </c>
      <c r="E24" s="12" t="s">
        <v>193</v>
      </c>
    </row>
    <row r="25" spans="2:6" x14ac:dyDescent="0.25">
      <c r="C25" s="12">
        <v>5</v>
      </c>
      <c r="D25" s="12">
        <v>15</v>
      </c>
      <c r="E25" s="12" t="s">
        <v>195</v>
      </c>
    </row>
    <row r="26" spans="2:6" x14ac:dyDescent="0.25">
      <c r="C26" s="12">
        <v>2</v>
      </c>
      <c r="D26" s="12">
        <v>20</v>
      </c>
      <c r="E26" s="12" t="s">
        <v>196</v>
      </c>
    </row>
    <row r="29" spans="2:6" x14ac:dyDescent="0.25">
      <c r="B29" s="12" t="s">
        <v>365</v>
      </c>
    </row>
    <row r="30" spans="2:6" x14ac:dyDescent="0.25">
      <c r="B30" s="12" t="s">
        <v>209</v>
      </c>
    </row>
    <row r="31" spans="2:6" x14ac:dyDescent="0.25">
      <c r="B31" s="12" t="s">
        <v>210</v>
      </c>
    </row>
    <row r="33" spans="2:2" x14ac:dyDescent="0.25">
      <c r="B33" s="12" t="s">
        <v>52</v>
      </c>
    </row>
    <row r="34" spans="2:2" x14ac:dyDescent="0.25">
      <c r="B34" s="12">
        <v>1</v>
      </c>
    </row>
    <row r="35" spans="2:2" x14ac:dyDescent="0.25">
      <c r="B35" s="12">
        <v>2</v>
      </c>
    </row>
    <row r="36" spans="2:2" x14ac:dyDescent="0.25">
      <c r="B36" s="12">
        <v>3</v>
      </c>
    </row>
    <row r="37" spans="2:2" x14ac:dyDescent="0.25">
      <c r="B37" s="12">
        <v>4</v>
      </c>
    </row>
    <row r="38" spans="2:2" x14ac:dyDescent="0.25">
      <c r="B38" s="12">
        <v>5</v>
      </c>
    </row>
    <row r="39" spans="2:2" x14ac:dyDescent="0.25">
      <c r="B39" s="12">
        <v>6</v>
      </c>
    </row>
    <row r="40" spans="2:2" x14ac:dyDescent="0.25">
      <c r="B40" s="12">
        <v>7</v>
      </c>
    </row>
    <row r="41" spans="2:2" x14ac:dyDescent="0.25">
      <c r="B41" s="12">
        <v>8</v>
      </c>
    </row>
    <row r="42" spans="2:2" x14ac:dyDescent="0.25">
      <c r="B42" s="12">
        <v>9</v>
      </c>
    </row>
    <row r="43" spans="2:2" x14ac:dyDescent="0.25">
      <c r="B43" s="12">
        <v>10</v>
      </c>
    </row>
    <row r="45" spans="2:2" x14ac:dyDescent="0.25">
      <c r="B45" s="12" t="s">
        <v>367</v>
      </c>
    </row>
    <row r="46" spans="2:2" x14ac:dyDescent="0.25">
      <c r="B46" s="211">
        <v>1</v>
      </c>
    </row>
    <row r="47" spans="2:2" x14ac:dyDescent="0.25">
      <c r="B47" s="211">
        <v>2</v>
      </c>
    </row>
    <row r="48" spans="2:2" x14ac:dyDescent="0.25">
      <c r="B48" s="211">
        <v>3</v>
      </c>
    </row>
    <row r="49" spans="2:2" x14ac:dyDescent="0.25">
      <c r="B49" s="211">
        <v>4</v>
      </c>
    </row>
    <row r="50" spans="2:2" x14ac:dyDescent="0.25">
      <c r="B50" s="211">
        <v>5</v>
      </c>
    </row>
    <row r="51" spans="2:2" x14ac:dyDescent="0.25">
      <c r="B51" s="211">
        <v>6</v>
      </c>
    </row>
    <row r="52" spans="2:2" x14ac:dyDescent="0.25">
      <c r="B52" s="211">
        <v>7</v>
      </c>
    </row>
    <row r="53" spans="2:2" x14ac:dyDescent="0.25">
      <c r="B53" s="211">
        <v>8</v>
      </c>
    </row>
    <row r="54" spans="2:2" x14ac:dyDescent="0.25">
      <c r="B54" s="211">
        <v>9</v>
      </c>
    </row>
    <row r="55" spans="2:2" x14ac:dyDescent="0.25">
      <c r="B55" s="211">
        <v>10</v>
      </c>
    </row>
    <row r="57" spans="2:2" x14ac:dyDescent="0.25">
      <c r="B57" s="12" t="s">
        <v>366</v>
      </c>
    </row>
    <row r="58" spans="2:2" x14ac:dyDescent="0.25">
      <c r="B58" s="211">
        <v>1</v>
      </c>
    </row>
    <row r="59" spans="2:2" x14ac:dyDescent="0.25">
      <c r="B59" s="211">
        <v>2</v>
      </c>
    </row>
    <row r="60" spans="2:2" x14ac:dyDescent="0.25">
      <c r="B60" s="211">
        <v>3</v>
      </c>
    </row>
    <row r="61" spans="2:2" x14ac:dyDescent="0.25">
      <c r="B61" s="211">
        <v>4</v>
      </c>
    </row>
    <row r="62" spans="2:2" x14ac:dyDescent="0.25">
      <c r="B62" s="211">
        <v>5</v>
      </c>
    </row>
    <row r="63" spans="2:2" x14ac:dyDescent="0.25">
      <c r="B63" s="211">
        <v>6</v>
      </c>
    </row>
    <row r="64" spans="2:2" x14ac:dyDescent="0.25">
      <c r="B64" s="211">
        <v>7</v>
      </c>
    </row>
    <row r="65" spans="2:2" x14ac:dyDescent="0.25">
      <c r="B65" s="211">
        <v>8</v>
      </c>
    </row>
    <row r="66" spans="2:2" x14ac:dyDescent="0.25">
      <c r="B66" s="211">
        <v>9</v>
      </c>
    </row>
    <row r="67" spans="2:2" x14ac:dyDescent="0.25">
      <c r="B67" s="211">
        <v>10</v>
      </c>
    </row>
    <row r="69" spans="2:2" x14ac:dyDescent="0.25">
      <c r="B69" s="12" t="s">
        <v>374</v>
      </c>
    </row>
    <row r="70" spans="2:2" x14ac:dyDescent="0.25">
      <c r="B70" s="12" t="s">
        <v>287</v>
      </c>
    </row>
    <row r="71" spans="2:2" x14ac:dyDescent="0.25">
      <c r="B71" s="12" t="s">
        <v>288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workbookViewId="0">
      <selection activeCell="B34" activeCellId="9" sqref="B20 B21 B22 B23 B26 B28 B29 B30 B31 B34"/>
    </sheetView>
  </sheetViews>
  <sheetFormatPr defaultRowHeight="15" x14ac:dyDescent="0.25"/>
  <cols>
    <col min="1" max="1" width="9.140625" style="86"/>
    <col min="2" max="2" width="26.7109375" style="86" bestFit="1" customWidth="1"/>
    <col min="3" max="3" width="10.140625" style="86" bestFit="1" customWidth="1"/>
    <col min="4" max="16384" width="9.140625" style="86"/>
  </cols>
  <sheetData>
    <row r="1" spans="1:16" ht="15.75" thickBot="1" x14ac:dyDescent="0.3"/>
    <row r="2" spans="1:16" ht="15.75" thickBot="1" x14ac:dyDescent="0.3">
      <c r="B2" s="56"/>
      <c r="C2" s="56"/>
      <c r="D2" s="56"/>
      <c r="E2" s="398" t="s">
        <v>183</v>
      </c>
      <c r="F2" s="400"/>
      <c r="G2" s="398" t="s">
        <v>184</v>
      </c>
      <c r="H2" s="399"/>
      <c r="I2" s="400" t="s">
        <v>185</v>
      </c>
      <c r="J2" s="400"/>
      <c r="K2" s="398" t="s">
        <v>186</v>
      </c>
      <c r="L2" s="399"/>
      <c r="M2" s="400" t="s">
        <v>187</v>
      </c>
      <c r="N2" s="399"/>
      <c r="O2" s="398" t="s">
        <v>188</v>
      </c>
      <c r="P2" s="399"/>
    </row>
    <row r="3" spans="1:16" ht="15.75" thickBot="1" x14ac:dyDescent="0.3">
      <c r="A3" s="87" t="s">
        <v>148</v>
      </c>
      <c r="B3" s="96" t="s">
        <v>179</v>
      </c>
      <c r="C3" s="90" t="s">
        <v>180</v>
      </c>
      <c r="D3" s="91" t="s">
        <v>181</v>
      </c>
      <c r="E3" s="88" t="s">
        <v>182</v>
      </c>
      <c r="F3" s="89" t="s">
        <v>50</v>
      </c>
      <c r="G3" s="90" t="s">
        <v>182</v>
      </c>
      <c r="H3" s="91" t="s">
        <v>50</v>
      </c>
      <c r="I3" s="88" t="s">
        <v>182</v>
      </c>
      <c r="J3" s="89" t="s">
        <v>50</v>
      </c>
      <c r="K3" s="90" t="s">
        <v>182</v>
      </c>
      <c r="L3" s="91" t="s">
        <v>50</v>
      </c>
      <c r="M3" s="88" t="s">
        <v>182</v>
      </c>
      <c r="N3" s="91" t="s">
        <v>50</v>
      </c>
      <c r="O3" s="90" t="s">
        <v>182</v>
      </c>
      <c r="P3" s="91" t="s">
        <v>50</v>
      </c>
    </row>
    <row r="4" spans="1:16" x14ac:dyDescent="0.25">
      <c r="A4" s="104"/>
      <c r="B4" s="99" t="s">
        <v>203</v>
      </c>
      <c r="C4" s="100">
        <v>0</v>
      </c>
      <c r="D4" s="101">
        <v>0</v>
      </c>
      <c r="E4" s="102">
        <v>0</v>
      </c>
      <c r="F4" s="103">
        <v>0</v>
      </c>
      <c r="G4" s="100">
        <v>0</v>
      </c>
      <c r="H4" s="101">
        <v>0</v>
      </c>
      <c r="I4" s="102">
        <v>0</v>
      </c>
      <c r="J4" s="103">
        <v>0</v>
      </c>
      <c r="K4" s="100">
        <v>0</v>
      </c>
      <c r="L4" s="101">
        <v>0</v>
      </c>
      <c r="M4" s="102">
        <v>0</v>
      </c>
      <c r="N4" s="103">
        <v>0</v>
      </c>
      <c r="O4" s="100">
        <v>0</v>
      </c>
      <c r="P4" s="101">
        <v>0</v>
      </c>
    </row>
    <row r="5" spans="1:16" x14ac:dyDescent="0.25">
      <c r="B5" s="97" t="s">
        <v>149</v>
      </c>
      <c r="C5" s="66">
        <v>8</v>
      </c>
      <c r="D5" s="67">
        <v>0</v>
      </c>
      <c r="E5" s="92">
        <v>0</v>
      </c>
      <c r="F5" s="93">
        <v>25</v>
      </c>
      <c r="G5" s="66">
        <v>0</v>
      </c>
      <c r="H5" s="67">
        <v>25</v>
      </c>
      <c r="I5" s="92">
        <v>0</v>
      </c>
      <c r="J5" s="93">
        <v>15</v>
      </c>
      <c r="K5" s="66">
        <v>0</v>
      </c>
      <c r="L5" s="67">
        <v>15</v>
      </c>
      <c r="M5" s="92">
        <v>0</v>
      </c>
      <c r="N5" s="93">
        <v>15</v>
      </c>
      <c r="O5" s="66">
        <v>0</v>
      </c>
      <c r="P5" s="67">
        <v>10</v>
      </c>
    </row>
    <row r="6" spans="1:16" x14ac:dyDescent="0.25">
      <c r="B6" s="97" t="s">
        <v>150</v>
      </c>
      <c r="C6" s="66">
        <v>18</v>
      </c>
      <c r="D6" s="67">
        <v>0</v>
      </c>
      <c r="E6" s="92">
        <v>0</v>
      </c>
      <c r="F6" s="93">
        <v>30</v>
      </c>
      <c r="G6" s="66">
        <v>0</v>
      </c>
      <c r="H6" s="67">
        <v>25</v>
      </c>
      <c r="I6" s="92">
        <v>0</v>
      </c>
      <c r="J6" s="93">
        <v>20</v>
      </c>
      <c r="K6" s="66">
        <v>0</v>
      </c>
      <c r="L6" s="67">
        <v>15</v>
      </c>
      <c r="M6" s="92">
        <v>0</v>
      </c>
      <c r="N6" s="93">
        <v>15</v>
      </c>
      <c r="O6" s="66">
        <v>0</v>
      </c>
      <c r="P6" s="67">
        <v>10</v>
      </c>
    </row>
    <row r="7" spans="1:16" x14ac:dyDescent="0.25">
      <c r="B7" s="97" t="s">
        <v>151</v>
      </c>
      <c r="C7" s="66">
        <v>15</v>
      </c>
      <c r="D7" s="67">
        <v>0</v>
      </c>
      <c r="E7" s="92">
        <v>2</v>
      </c>
      <c r="F7" s="93">
        <v>30</v>
      </c>
      <c r="G7" s="66">
        <v>0</v>
      </c>
      <c r="H7" s="67">
        <v>25</v>
      </c>
      <c r="I7" s="92">
        <v>0</v>
      </c>
      <c r="J7" s="93">
        <v>25</v>
      </c>
      <c r="K7" s="66">
        <v>0</v>
      </c>
      <c r="L7" s="67">
        <v>15</v>
      </c>
      <c r="M7" s="92">
        <v>0</v>
      </c>
      <c r="N7" s="93">
        <v>20</v>
      </c>
      <c r="O7" s="66">
        <v>0</v>
      </c>
      <c r="P7" s="67">
        <v>10</v>
      </c>
    </row>
    <row r="8" spans="1:16" x14ac:dyDescent="0.25">
      <c r="B8" s="97" t="s">
        <v>152</v>
      </c>
      <c r="C8" s="66">
        <v>20</v>
      </c>
      <c r="D8" s="67">
        <v>0</v>
      </c>
      <c r="E8" s="92">
        <v>3</v>
      </c>
      <c r="F8" s="93">
        <v>30</v>
      </c>
      <c r="G8" s="66">
        <v>1</v>
      </c>
      <c r="H8" s="67">
        <v>25</v>
      </c>
      <c r="I8" s="92">
        <v>1</v>
      </c>
      <c r="J8" s="93">
        <v>25</v>
      </c>
      <c r="K8" s="66">
        <v>1</v>
      </c>
      <c r="L8" s="67">
        <v>15</v>
      </c>
      <c r="M8" s="92">
        <v>1</v>
      </c>
      <c r="N8" s="93">
        <v>25</v>
      </c>
      <c r="O8" s="66">
        <v>0</v>
      </c>
      <c r="P8" s="67">
        <v>20</v>
      </c>
    </row>
    <row r="9" spans="1:16" x14ac:dyDescent="0.25">
      <c r="B9" s="97" t="s">
        <v>153</v>
      </c>
      <c r="C9" s="66">
        <v>10</v>
      </c>
      <c r="D9" s="67">
        <v>0</v>
      </c>
      <c r="E9" s="92">
        <v>4</v>
      </c>
      <c r="F9" s="93">
        <v>30</v>
      </c>
      <c r="G9" s="66">
        <v>4</v>
      </c>
      <c r="H9" s="67">
        <v>45</v>
      </c>
      <c r="I9" s="92">
        <v>5</v>
      </c>
      <c r="J9" s="93">
        <v>15</v>
      </c>
      <c r="K9" s="66">
        <v>4</v>
      </c>
      <c r="L9" s="67">
        <v>20</v>
      </c>
      <c r="M9" s="92">
        <v>5</v>
      </c>
      <c r="N9" s="93">
        <v>30</v>
      </c>
      <c r="O9" s="66">
        <v>0</v>
      </c>
      <c r="P9" s="67">
        <v>0</v>
      </c>
    </row>
    <row r="10" spans="1:16" x14ac:dyDescent="0.25">
      <c r="B10" s="97" t="s">
        <v>154</v>
      </c>
      <c r="C10" s="66">
        <v>15</v>
      </c>
      <c r="D10" s="67">
        <v>0</v>
      </c>
      <c r="E10" s="92">
        <v>4</v>
      </c>
      <c r="F10" s="93">
        <v>35</v>
      </c>
      <c r="G10" s="66">
        <v>5</v>
      </c>
      <c r="H10" s="67">
        <v>55</v>
      </c>
      <c r="I10" s="92">
        <v>5</v>
      </c>
      <c r="J10" s="93">
        <v>20</v>
      </c>
      <c r="K10" s="66">
        <v>4</v>
      </c>
      <c r="L10" s="67">
        <v>25</v>
      </c>
      <c r="M10" s="92">
        <v>6</v>
      </c>
      <c r="N10" s="93">
        <v>35</v>
      </c>
      <c r="O10" s="66">
        <v>0</v>
      </c>
      <c r="P10" s="67">
        <v>0</v>
      </c>
    </row>
    <row r="11" spans="1:16" x14ac:dyDescent="0.25">
      <c r="B11" s="97" t="s">
        <v>155</v>
      </c>
      <c r="C11" s="66">
        <v>15</v>
      </c>
      <c r="D11" s="67">
        <v>0</v>
      </c>
      <c r="E11" s="92">
        <v>4</v>
      </c>
      <c r="F11" s="93">
        <v>25</v>
      </c>
      <c r="G11" s="66">
        <v>10</v>
      </c>
      <c r="H11" s="67">
        <v>80</v>
      </c>
      <c r="I11" s="92">
        <v>4</v>
      </c>
      <c r="J11" s="93">
        <v>10</v>
      </c>
      <c r="K11" s="66">
        <v>10</v>
      </c>
      <c r="L11" s="67">
        <v>80</v>
      </c>
      <c r="M11" s="92">
        <v>4</v>
      </c>
      <c r="N11" s="93">
        <v>20</v>
      </c>
      <c r="O11" s="66">
        <v>10</v>
      </c>
      <c r="P11" s="67">
        <v>80</v>
      </c>
    </row>
    <row r="12" spans="1:16" x14ac:dyDescent="0.25">
      <c r="B12" s="97" t="s">
        <v>156</v>
      </c>
      <c r="C12" s="66">
        <v>20</v>
      </c>
      <c r="D12" s="67">
        <v>0</v>
      </c>
      <c r="E12" s="92">
        <v>5</v>
      </c>
      <c r="F12" s="93">
        <v>40</v>
      </c>
      <c r="G12" s="66">
        <v>8</v>
      </c>
      <c r="H12" s="67">
        <v>45</v>
      </c>
      <c r="I12" s="92">
        <v>4</v>
      </c>
      <c r="J12" s="93">
        <v>30</v>
      </c>
      <c r="K12" s="66">
        <v>4</v>
      </c>
      <c r="L12" s="67">
        <v>30</v>
      </c>
      <c r="M12" s="92">
        <v>6</v>
      </c>
      <c r="N12" s="93">
        <v>40</v>
      </c>
      <c r="O12" s="66">
        <v>6</v>
      </c>
      <c r="P12" s="67">
        <v>20</v>
      </c>
    </row>
    <row r="13" spans="1:16" x14ac:dyDescent="0.25">
      <c r="B13" s="97" t="s">
        <v>157</v>
      </c>
      <c r="C13" s="66">
        <v>25</v>
      </c>
      <c r="D13" s="67">
        <v>5</v>
      </c>
      <c r="E13" s="92">
        <v>6</v>
      </c>
      <c r="F13" s="93">
        <v>40</v>
      </c>
      <c r="G13" s="66">
        <v>9</v>
      </c>
      <c r="H13" s="67">
        <v>50</v>
      </c>
      <c r="I13" s="92">
        <v>5</v>
      </c>
      <c r="J13" s="93">
        <v>35</v>
      </c>
      <c r="K13" s="66">
        <v>5</v>
      </c>
      <c r="L13" s="67">
        <v>30</v>
      </c>
      <c r="M13" s="92">
        <v>9</v>
      </c>
      <c r="N13" s="93">
        <v>45</v>
      </c>
      <c r="O13" s="66">
        <v>2</v>
      </c>
      <c r="P13" s="67">
        <v>25</v>
      </c>
    </row>
    <row r="14" spans="1:16" x14ac:dyDescent="0.25">
      <c r="B14" s="97" t="s">
        <v>158</v>
      </c>
      <c r="C14" s="66">
        <v>30</v>
      </c>
      <c r="D14" s="67">
        <v>0</v>
      </c>
      <c r="E14" s="92">
        <v>3</v>
      </c>
      <c r="F14" s="93">
        <v>25</v>
      </c>
      <c r="G14" s="66">
        <v>1</v>
      </c>
      <c r="H14" s="67">
        <v>25</v>
      </c>
      <c r="I14" s="92">
        <v>1</v>
      </c>
      <c r="J14" s="93">
        <v>25</v>
      </c>
      <c r="K14" s="66">
        <v>1</v>
      </c>
      <c r="L14" s="67">
        <v>10</v>
      </c>
      <c r="M14" s="92">
        <v>1</v>
      </c>
      <c r="N14" s="93">
        <v>25</v>
      </c>
      <c r="O14" s="66">
        <v>0</v>
      </c>
      <c r="P14" s="67">
        <v>20</v>
      </c>
    </row>
    <row r="15" spans="1:16" x14ac:dyDescent="0.25">
      <c r="B15" s="97" t="s">
        <v>159</v>
      </c>
      <c r="C15" s="66">
        <v>5</v>
      </c>
      <c r="D15" s="67">
        <v>0</v>
      </c>
      <c r="E15" s="92">
        <v>0</v>
      </c>
      <c r="F15" s="93">
        <v>20</v>
      </c>
      <c r="G15" s="66">
        <v>0</v>
      </c>
      <c r="H15" s="67">
        <v>25</v>
      </c>
      <c r="I15" s="92">
        <v>0</v>
      </c>
      <c r="J15" s="93">
        <v>10</v>
      </c>
      <c r="K15" s="66">
        <v>0</v>
      </c>
      <c r="L15" s="67">
        <v>10</v>
      </c>
      <c r="M15" s="92">
        <v>0</v>
      </c>
      <c r="N15" s="93">
        <v>0</v>
      </c>
      <c r="O15" s="66">
        <v>0</v>
      </c>
      <c r="P15" s="67">
        <v>20</v>
      </c>
    </row>
    <row r="16" spans="1:16" x14ac:dyDescent="0.25">
      <c r="B16" s="97" t="s">
        <v>160</v>
      </c>
      <c r="C16" s="66">
        <v>5</v>
      </c>
      <c r="D16" s="67">
        <v>0</v>
      </c>
      <c r="E16" s="92">
        <v>0</v>
      </c>
      <c r="F16" s="93">
        <v>20</v>
      </c>
      <c r="G16" s="66">
        <v>0</v>
      </c>
      <c r="H16" s="67">
        <v>25</v>
      </c>
      <c r="I16" s="92">
        <v>0</v>
      </c>
      <c r="J16" s="93">
        <v>10</v>
      </c>
      <c r="K16" s="66">
        <v>0</v>
      </c>
      <c r="L16" s="67">
        <v>10</v>
      </c>
      <c r="M16" s="92">
        <v>0</v>
      </c>
      <c r="N16" s="93">
        <v>20</v>
      </c>
      <c r="O16" s="66">
        <v>0</v>
      </c>
      <c r="P16" s="67">
        <v>20</v>
      </c>
    </row>
    <row r="17" spans="2:16" x14ac:dyDescent="0.25">
      <c r="B17" s="97" t="s">
        <v>161</v>
      </c>
      <c r="C17" s="66">
        <v>5</v>
      </c>
      <c r="D17" s="67">
        <v>0</v>
      </c>
      <c r="E17" s="92">
        <v>0</v>
      </c>
      <c r="F17" s="93">
        <v>20</v>
      </c>
      <c r="G17" s="66">
        <v>0</v>
      </c>
      <c r="H17" s="67">
        <v>25</v>
      </c>
      <c r="I17" s="92">
        <v>0</v>
      </c>
      <c r="J17" s="93">
        <v>10</v>
      </c>
      <c r="K17" s="66">
        <v>0</v>
      </c>
      <c r="L17" s="67">
        <v>10</v>
      </c>
      <c r="M17" s="92">
        <v>0</v>
      </c>
      <c r="N17" s="93">
        <v>20</v>
      </c>
      <c r="O17" s="66">
        <v>0</v>
      </c>
      <c r="P17" s="67">
        <v>15</v>
      </c>
    </row>
    <row r="18" spans="2:16" x14ac:dyDescent="0.25">
      <c r="B18" s="97" t="s">
        <v>162</v>
      </c>
      <c r="C18" s="66">
        <v>5</v>
      </c>
      <c r="D18" s="67">
        <v>0</v>
      </c>
      <c r="E18" s="92">
        <v>0</v>
      </c>
      <c r="F18" s="93">
        <v>20</v>
      </c>
      <c r="G18" s="66">
        <v>0</v>
      </c>
      <c r="H18" s="67">
        <v>25</v>
      </c>
      <c r="I18" s="92">
        <v>0</v>
      </c>
      <c r="J18" s="93">
        <v>10</v>
      </c>
      <c r="K18" s="66">
        <v>0</v>
      </c>
      <c r="L18" s="67">
        <v>10</v>
      </c>
      <c r="M18" s="92">
        <v>0</v>
      </c>
      <c r="N18" s="93">
        <v>20</v>
      </c>
      <c r="O18" s="66">
        <v>0</v>
      </c>
      <c r="P18" s="67">
        <v>20</v>
      </c>
    </row>
    <row r="19" spans="2:16" x14ac:dyDescent="0.25">
      <c r="B19" s="97" t="s">
        <v>163</v>
      </c>
      <c r="C19" s="66">
        <v>5</v>
      </c>
      <c r="D19" s="67">
        <v>0</v>
      </c>
      <c r="E19" s="92">
        <v>0</v>
      </c>
      <c r="F19" s="93">
        <v>20</v>
      </c>
      <c r="G19" s="66">
        <v>0</v>
      </c>
      <c r="H19" s="67">
        <v>25</v>
      </c>
      <c r="I19" s="92">
        <v>0</v>
      </c>
      <c r="J19" s="93">
        <v>10</v>
      </c>
      <c r="K19" s="66">
        <v>0</v>
      </c>
      <c r="L19" s="67">
        <v>10</v>
      </c>
      <c r="M19" s="92">
        <v>0</v>
      </c>
      <c r="N19" s="93">
        <v>20</v>
      </c>
      <c r="O19" s="66">
        <v>0</v>
      </c>
      <c r="P19" s="67">
        <v>0</v>
      </c>
    </row>
    <row r="20" spans="2:16" x14ac:dyDescent="0.25">
      <c r="B20" s="97" t="s">
        <v>164</v>
      </c>
      <c r="C20" s="66">
        <v>20</v>
      </c>
      <c r="D20" s="67">
        <v>10</v>
      </c>
      <c r="E20" s="92">
        <v>8</v>
      </c>
      <c r="F20" s="93">
        <v>40</v>
      </c>
      <c r="G20" s="66">
        <v>8</v>
      </c>
      <c r="H20" s="67">
        <v>65</v>
      </c>
      <c r="I20" s="92">
        <v>7</v>
      </c>
      <c r="J20" s="93">
        <v>50</v>
      </c>
      <c r="K20" s="66">
        <v>7</v>
      </c>
      <c r="L20" s="67">
        <v>50</v>
      </c>
      <c r="M20" s="92">
        <v>8</v>
      </c>
      <c r="N20" s="93">
        <v>40</v>
      </c>
      <c r="O20" s="66">
        <v>5</v>
      </c>
      <c r="P20" s="67">
        <v>30</v>
      </c>
    </row>
    <row r="21" spans="2:16" x14ac:dyDescent="0.25">
      <c r="B21" s="97" t="s">
        <v>165</v>
      </c>
      <c r="C21" s="66">
        <v>35</v>
      </c>
      <c r="D21" s="67">
        <v>20</v>
      </c>
      <c r="E21" s="92">
        <v>6</v>
      </c>
      <c r="F21" s="93">
        <v>40</v>
      </c>
      <c r="G21" s="66">
        <v>9</v>
      </c>
      <c r="H21" s="67">
        <v>65</v>
      </c>
      <c r="I21" s="92">
        <v>5</v>
      </c>
      <c r="J21" s="93">
        <v>35</v>
      </c>
      <c r="K21" s="66">
        <v>5</v>
      </c>
      <c r="L21" s="67">
        <v>50</v>
      </c>
      <c r="M21" s="92">
        <v>9</v>
      </c>
      <c r="N21" s="93">
        <v>45</v>
      </c>
      <c r="O21" s="66">
        <v>0</v>
      </c>
      <c r="P21" s="67">
        <v>0</v>
      </c>
    </row>
    <row r="22" spans="2:16" x14ac:dyDescent="0.25">
      <c r="B22" s="97" t="s">
        <v>166</v>
      </c>
      <c r="C22" s="66">
        <v>20</v>
      </c>
      <c r="D22" s="67">
        <v>10</v>
      </c>
      <c r="E22" s="92">
        <v>8</v>
      </c>
      <c r="F22" s="93">
        <v>40</v>
      </c>
      <c r="G22" s="66">
        <v>8</v>
      </c>
      <c r="H22" s="67">
        <v>65</v>
      </c>
      <c r="I22" s="92">
        <v>7</v>
      </c>
      <c r="J22" s="93">
        <v>50</v>
      </c>
      <c r="K22" s="66">
        <v>7</v>
      </c>
      <c r="L22" s="67">
        <v>50</v>
      </c>
      <c r="M22" s="92">
        <v>8</v>
      </c>
      <c r="N22" s="93">
        <v>40</v>
      </c>
      <c r="O22" s="66">
        <v>5</v>
      </c>
      <c r="P22" s="67">
        <v>30</v>
      </c>
    </row>
    <row r="23" spans="2:16" x14ac:dyDescent="0.25">
      <c r="B23" s="97" t="s">
        <v>167</v>
      </c>
      <c r="C23" s="66">
        <v>20</v>
      </c>
      <c r="D23" s="67">
        <v>20</v>
      </c>
      <c r="E23" s="92">
        <v>5</v>
      </c>
      <c r="F23" s="93">
        <v>40</v>
      </c>
      <c r="G23" s="66">
        <v>10</v>
      </c>
      <c r="H23" s="67">
        <v>80</v>
      </c>
      <c r="I23" s="92">
        <v>4</v>
      </c>
      <c r="J23" s="93">
        <v>30</v>
      </c>
      <c r="K23" s="66">
        <v>10</v>
      </c>
      <c r="L23" s="67">
        <v>80</v>
      </c>
      <c r="M23" s="92">
        <v>6</v>
      </c>
      <c r="N23" s="93">
        <v>40</v>
      </c>
      <c r="O23" s="66">
        <v>10</v>
      </c>
      <c r="P23" s="67">
        <v>40</v>
      </c>
    </row>
    <row r="24" spans="2:16" x14ac:dyDescent="0.25">
      <c r="B24" s="97" t="s">
        <v>168</v>
      </c>
      <c r="C24" s="66">
        <v>20</v>
      </c>
      <c r="D24" s="67">
        <v>0</v>
      </c>
      <c r="E24" s="92">
        <v>5</v>
      </c>
      <c r="F24" s="93">
        <v>40</v>
      </c>
      <c r="G24" s="66">
        <v>8</v>
      </c>
      <c r="H24" s="67">
        <v>45</v>
      </c>
      <c r="I24" s="92">
        <v>4</v>
      </c>
      <c r="J24" s="93">
        <v>30</v>
      </c>
      <c r="K24" s="66">
        <v>4</v>
      </c>
      <c r="L24" s="67">
        <v>30</v>
      </c>
      <c r="M24" s="92">
        <v>6</v>
      </c>
      <c r="N24" s="93">
        <v>40</v>
      </c>
      <c r="O24" s="66">
        <v>6</v>
      </c>
      <c r="P24" s="67">
        <v>20</v>
      </c>
    </row>
    <row r="25" spans="2:16" x14ac:dyDescent="0.25">
      <c r="B25" s="97" t="s">
        <v>169</v>
      </c>
      <c r="C25" s="66">
        <v>25</v>
      </c>
      <c r="D25" s="67">
        <v>5</v>
      </c>
      <c r="E25" s="92">
        <v>6</v>
      </c>
      <c r="F25" s="93">
        <v>40</v>
      </c>
      <c r="G25" s="66">
        <v>9</v>
      </c>
      <c r="H25" s="67">
        <v>50</v>
      </c>
      <c r="I25" s="92">
        <v>5</v>
      </c>
      <c r="J25" s="93">
        <v>35</v>
      </c>
      <c r="K25" s="66">
        <v>5</v>
      </c>
      <c r="L25" s="67">
        <v>30</v>
      </c>
      <c r="M25" s="92">
        <v>9</v>
      </c>
      <c r="N25" s="93">
        <v>45</v>
      </c>
      <c r="O25" s="66">
        <v>2</v>
      </c>
      <c r="P25" s="67">
        <v>25</v>
      </c>
    </row>
    <row r="26" spans="2:16" x14ac:dyDescent="0.25">
      <c r="B26" s="97" t="s">
        <v>170</v>
      </c>
      <c r="C26" s="66">
        <v>20</v>
      </c>
      <c r="D26" s="67">
        <v>15</v>
      </c>
      <c r="E26" s="92">
        <v>5</v>
      </c>
      <c r="F26" s="93">
        <v>40</v>
      </c>
      <c r="G26" s="66">
        <v>8</v>
      </c>
      <c r="H26" s="67">
        <v>60</v>
      </c>
      <c r="I26" s="92">
        <v>10</v>
      </c>
      <c r="J26" s="93">
        <v>70</v>
      </c>
      <c r="K26" s="66">
        <v>4</v>
      </c>
      <c r="L26" s="67">
        <v>50</v>
      </c>
      <c r="M26" s="92">
        <v>10</v>
      </c>
      <c r="N26" s="93">
        <v>60</v>
      </c>
      <c r="O26" s="66">
        <v>0</v>
      </c>
      <c r="P26" s="67">
        <v>0</v>
      </c>
    </row>
    <row r="27" spans="2:16" x14ac:dyDescent="0.25">
      <c r="B27" s="97" t="s">
        <v>171</v>
      </c>
      <c r="C27" s="66">
        <v>10</v>
      </c>
      <c r="D27" s="67">
        <v>0</v>
      </c>
      <c r="E27" s="92">
        <v>6</v>
      </c>
      <c r="F27" s="93">
        <v>40</v>
      </c>
      <c r="G27" s="66">
        <v>9</v>
      </c>
      <c r="H27" s="67">
        <v>50</v>
      </c>
      <c r="I27" s="92">
        <v>5</v>
      </c>
      <c r="J27" s="93">
        <v>35</v>
      </c>
      <c r="K27" s="66">
        <v>5</v>
      </c>
      <c r="L27" s="67">
        <v>30</v>
      </c>
      <c r="M27" s="92">
        <v>9</v>
      </c>
      <c r="N27" s="93">
        <v>45</v>
      </c>
      <c r="O27" s="66">
        <v>6</v>
      </c>
      <c r="P27" s="67">
        <v>35</v>
      </c>
    </row>
    <row r="28" spans="2:16" x14ac:dyDescent="0.25">
      <c r="B28" s="97" t="s">
        <v>172</v>
      </c>
      <c r="C28" s="66">
        <v>25</v>
      </c>
      <c r="D28" s="67">
        <v>50</v>
      </c>
      <c r="E28" s="92">
        <v>12</v>
      </c>
      <c r="F28" s="93">
        <v>40</v>
      </c>
      <c r="G28" s="66">
        <v>18</v>
      </c>
      <c r="H28" s="67">
        <v>80</v>
      </c>
      <c r="I28" s="92">
        <v>12</v>
      </c>
      <c r="J28" s="93">
        <v>60</v>
      </c>
      <c r="K28" s="66">
        <v>10</v>
      </c>
      <c r="L28" s="67">
        <v>40</v>
      </c>
      <c r="M28" s="92">
        <v>20</v>
      </c>
      <c r="N28" s="93">
        <v>50</v>
      </c>
      <c r="O28" s="66">
        <v>12</v>
      </c>
      <c r="P28" s="67">
        <v>40</v>
      </c>
    </row>
    <row r="29" spans="2:16" x14ac:dyDescent="0.25">
      <c r="B29" s="97" t="s">
        <v>173</v>
      </c>
      <c r="C29" s="66">
        <v>25</v>
      </c>
      <c r="D29" s="67">
        <v>60</v>
      </c>
      <c r="E29" s="92">
        <v>13</v>
      </c>
      <c r="F29" s="93">
        <v>50</v>
      </c>
      <c r="G29" s="66">
        <v>19</v>
      </c>
      <c r="H29" s="67">
        <v>90</v>
      </c>
      <c r="I29" s="92">
        <v>14</v>
      </c>
      <c r="J29" s="93">
        <v>70</v>
      </c>
      <c r="K29" s="66">
        <v>13</v>
      </c>
      <c r="L29" s="67">
        <v>50</v>
      </c>
      <c r="M29" s="92">
        <v>20</v>
      </c>
      <c r="N29" s="93">
        <v>60</v>
      </c>
      <c r="O29" s="66">
        <v>13</v>
      </c>
      <c r="P29" s="67">
        <v>50</v>
      </c>
    </row>
    <row r="30" spans="2:16" x14ac:dyDescent="0.25">
      <c r="B30" s="97" t="s">
        <v>174</v>
      </c>
      <c r="C30" s="66">
        <v>25</v>
      </c>
      <c r="D30" s="67">
        <v>60</v>
      </c>
      <c r="E30" s="92">
        <v>13</v>
      </c>
      <c r="F30" s="93">
        <v>50</v>
      </c>
      <c r="G30" s="66">
        <v>19</v>
      </c>
      <c r="H30" s="67">
        <v>90</v>
      </c>
      <c r="I30" s="92">
        <v>14</v>
      </c>
      <c r="J30" s="93">
        <v>70</v>
      </c>
      <c r="K30" s="66">
        <v>13</v>
      </c>
      <c r="L30" s="67">
        <v>50</v>
      </c>
      <c r="M30" s="92">
        <v>20</v>
      </c>
      <c r="N30" s="93">
        <v>60</v>
      </c>
      <c r="O30" s="66">
        <v>13</v>
      </c>
      <c r="P30" s="67">
        <v>50</v>
      </c>
    </row>
    <row r="31" spans="2:16" x14ac:dyDescent="0.25">
      <c r="B31" s="97" t="s">
        <v>175</v>
      </c>
      <c r="C31" s="66">
        <v>30</v>
      </c>
      <c r="D31" s="67">
        <v>70</v>
      </c>
      <c r="E31" s="92">
        <v>15</v>
      </c>
      <c r="F31" s="93">
        <v>55</v>
      </c>
      <c r="G31" s="66">
        <v>19</v>
      </c>
      <c r="H31" s="67">
        <v>90</v>
      </c>
      <c r="I31" s="92">
        <v>16</v>
      </c>
      <c r="J31" s="93">
        <v>70</v>
      </c>
      <c r="K31" s="66">
        <v>15</v>
      </c>
      <c r="L31" s="67">
        <v>60</v>
      </c>
      <c r="M31" s="92">
        <v>20</v>
      </c>
      <c r="N31" s="93">
        <v>65</v>
      </c>
      <c r="O31" s="66">
        <v>15</v>
      </c>
      <c r="P31" s="67">
        <v>60</v>
      </c>
    </row>
    <row r="32" spans="2:16" x14ac:dyDescent="0.25">
      <c r="B32" s="97" t="s">
        <v>176</v>
      </c>
      <c r="C32" s="66">
        <v>25</v>
      </c>
      <c r="D32" s="67">
        <v>0</v>
      </c>
      <c r="E32" s="92">
        <v>6</v>
      </c>
      <c r="F32" s="93">
        <v>40</v>
      </c>
      <c r="G32" s="66">
        <v>9</v>
      </c>
      <c r="H32" s="67">
        <v>50</v>
      </c>
      <c r="I32" s="92">
        <v>5</v>
      </c>
      <c r="J32" s="93">
        <v>35</v>
      </c>
      <c r="K32" s="66">
        <v>5</v>
      </c>
      <c r="L32" s="67">
        <v>30</v>
      </c>
      <c r="M32" s="92">
        <v>9</v>
      </c>
      <c r="N32" s="93">
        <v>45</v>
      </c>
      <c r="O32" s="66">
        <v>0</v>
      </c>
      <c r="P32" s="67">
        <v>30</v>
      </c>
    </row>
    <row r="33" spans="2:16" x14ac:dyDescent="0.25">
      <c r="B33" s="97" t="s">
        <v>177</v>
      </c>
      <c r="C33" s="66">
        <v>25</v>
      </c>
      <c r="D33" s="67">
        <v>0</v>
      </c>
      <c r="E33" s="92">
        <v>6</v>
      </c>
      <c r="F33" s="93">
        <v>40</v>
      </c>
      <c r="G33" s="66">
        <v>9</v>
      </c>
      <c r="H33" s="67">
        <v>50</v>
      </c>
      <c r="I33" s="92">
        <v>5</v>
      </c>
      <c r="J33" s="93">
        <v>35</v>
      </c>
      <c r="K33" s="66">
        <v>5</v>
      </c>
      <c r="L33" s="67">
        <v>30</v>
      </c>
      <c r="M33" s="92">
        <v>9</v>
      </c>
      <c r="N33" s="93">
        <v>45</v>
      </c>
      <c r="O33" s="66">
        <v>0</v>
      </c>
      <c r="P33" s="67">
        <v>30</v>
      </c>
    </row>
    <row r="34" spans="2:16" ht="15.75" thickBot="1" x14ac:dyDescent="0.3">
      <c r="B34" s="98" t="s">
        <v>178</v>
      </c>
      <c r="C34" s="68">
        <v>25</v>
      </c>
      <c r="D34" s="69">
        <v>90</v>
      </c>
      <c r="E34" s="94">
        <v>20</v>
      </c>
      <c r="F34" s="95">
        <v>75</v>
      </c>
      <c r="G34" s="68">
        <v>20</v>
      </c>
      <c r="H34" s="69">
        <v>90</v>
      </c>
      <c r="I34" s="94">
        <v>15</v>
      </c>
      <c r="J34" s="95">
        <v>80</v>
      </c>
      <c r="K34" s="68">
        <v>20</v>
      </c>
      <c r="L34" s="69">
        <v>60</v>
      </c>
      <c r="M34" s="94">
        <v>20</v>
      </c>
      <c r="N34" s="95">
        <v>80</v>
      </c>
      <c r="O34" s="68">
        <v>15</v>
      </c>
      <c r="P34" s="69">
        <v>75</v>
      </c>
    </row>
    <row r="40" spans="2:16" x14ac:dyDescent="0.25">
      <c r="B40" s="86" t="str">
        <f>'DMG PLANNER'!B53</f>
        <v>Combat Armor MK2</v>
      </c>
    </row>
    <row r="41" spans="2:16" x14ac:dyDescent="0.25">
      <c r="B41" s="86" t="s">
        <v>189</v>
      </c>
    </row>
    <row r="44" spans="2:16" x14ac:dyDescent="0.25">
      <c r="C44" s="86" t="s">
        <v>182</v>
      </c>
      <c r="D44" s="86" t="s">
        <v>50</v>
      </c>
    </row>
    <row r="45" spans="2:16" x14ac:dyDescent="0.25">
      <c r="B45" s="86" t="s">
        <v>191</v>
      </c>
      <c r="C45" s="86">
        <f>IF('DMG PLANNER'!$B$53="No Armor",ARMORS!$E$4,IF('DMG PLANNER'!$B$53="Leather Jacket",ARMORS!$E$5,IF('DMG PLANNER'!$B$53="Combat Leather Jacket",ARMORS!$E$6,IF('DMG PLANNER'!$B$53="Leather Armor",ARMORS!$E$7,IF('DMG PLANNER'!$B$53="Leather Armor MK2",ARMORS!$E$8,IF('DMG PLANNER'!$B$53="Metal Armor",ARMORS!$E$9,IF('DMG PLANNER'!$B$53="Metal Armor MK2",ARMORS!$E$10,IF('DMG PLANNER'!$B$53="Tesla Armor",ARMORS!$E$11,IF('DMG PLANNER'!$B$53="Combat Armor",ARMORS!$E$12,IF('DMG PLANNER'!$B$53="Combat Armor MK2",ARMORS!$E$13,IF('DMG PLANNER'!$B$53="Hubologist´s Robe",ARMORS!$E$14,IF('DMG PLANNER'!$B$53="Sand Robe",ARMORS!$E$15,IF('DMG PLANNER'!$B$53="Blue Robe",ARMORS!$E$16,IF('DMG PLANNER'!$B$53="Robes",ARMORS!$E$17,IF('DMG PLANNER'!$B$53="Red Robe",ARMORS!$E$18,IF('DMG PLANNER'!$B$53="Vault Dweller´s Jumpsuit",ARMORS!$E$19,IF('DMG PLANNER'!$B$53="Brotherhood Armor",ARMORS!$E$20,IF('DMG PLANNER'!$B$53="Desert Combat Armor",ARMORS!$E$21,IF('DMG PLANNER'!$B$53="Enclave Armor",ARMORS!$E$22,IF('DMG PLANNER'!$B$53="Navy Armor",ARMORS!$E$23,IF('DMG PLANNER'!$B$53="NCR Combat Armor",ARMORS!$E$24,IF('DMG PLANNER'!$B$53="NCR Combat Armor MK2",ARMORS!$E$25,IF('DMG PLANNER'!$B$53="Ranger Armor",ARMORS!$E$26,IF('DMG PLANNER'!$B$53="Barett´s Power Armor",ARMORS!$E$27,IF('DMG PLANNER'!$B$53="Power Armor",ARMORS!$E$28,IF('DMG PLANNER'!$B$53="Hardened Power Armor",ARMORS!$E$29,IF('DMG PLANNER'!$B$53="Advanced Power Armor",ARMORS!$E$30,IF('DMG PLANNER'!$B$53="Advanced Power Armor MK2",ARMORS!$E$31,IF('DMG PLANNER'!$B$53="Combat Robe",ARMORS!$E$32,IF('DMG PLANNER'!$B$53="Green Robe",ARMORS!$E$33,IF('DMG PLANNER'!$B$53="Robot Armor",ARMORS!$E$34)))))))))))))))))))))))))))))))</f>
        <v>6</v>
      </c>
      <c r="D45" s="86">
        <f>IF('DMG PLANNER'!$B$53="No Armor",ARMORS!$F$4,IF('DMG PLANNER'!$B$53="Leather Jacket",ARMORS!$F$5,IF('DMG PLANNER'!$B$53="Combat Leather Jacket",ARMORS!$F$6,IF('DMG PLANNER'!$B$53="Leather Armor",ARMORS!$F$7,IF('DMG PLANNER'!$B$53="Leather Armor MK2",ARMORS!$F$8,IF('DMG PLANNER'!$B$53="Metal Armor",ARMORS!$F$9,IF('DMG PLANNER'!$B$53="Metal Armor MK2",ARMORS!$F$10,IF('DMG PLANNER'!$B$53="Tesla Armor",ARMORS!$F$11,IF('DMG PLANNER'!$B$53="Combat Armor",ARMORS!$F$12,IF('DMG PLANNER'!$B$53="Combat Armor MK2",ARMORS!$F$13,IF('DMG PLANNER'!$B$53="Hubologist´s Robe",ARMORS!$F$14,IF('DMG PLANNER'!$B$53="Sand Robe",ARMORS!$F$15,IF('DMG PLANNER'!$B$53="Blue Robe",ARMORS!$F$16,IF('DMG PLANNER'!$B$53="Robes",ARMORS!$F$17,IF('DMG PLANNER'!$B$53="Red Robe",ARMORS!$F$18,IF('DMG PLANNER'!$B$53="Vault Dweller´s Jumpsuit",ARMORS!$F$19,IF('DMG PLANNER'!$B$53="Brotherhood Armor",ARMORS!$F$20,IF('DMG PLANNER'!$B$53="Desert Combat Armor",ARMORS!$F$21,IF('DMG PLANNER'!$B$53="Enclave Armor",ARMORS!$F$22,IF('DMG PLANNER'!$B$53="Navy Armor",ARMORS!$F$23,IF('DMG PLANNER'!$B$53="NCR Combat Armor",ARMORS!$F$24,IF('DMG PLANNER'!$B$53="NCR Combat Armor MK2",ARMORS!$F$25,IF('DMG PLANNER'!$B$53="Ranger Armor",ARMORS!$F$26,IF('DMG PLANNER'!$B$53="Barett´s Power Armor",ARMORS!$F$27,IF('DMG PLANNER'!$B$53="Power Armor",ARMORS!$F$28,IF('DMG PLANNER'!$B$53="Hardened Power Armor",ARMORS!$F$29,IF('DMG PLANNER'!$B$53="Advanced Power Armor",ARMORS!$F$30,IF('DMG PLANNER'!$B$53="Advanced Power Armor MK2",ARMORS!$F$31,IF('DMG PLANNER'!$B$53="Combat Robe",ARMORS!$F$32,IF('DMG PLANNER'!$B$53="Green Robe",ARMORS!$F$33,IF('DMG PLANNER'!$B$53="Robot Armor",ARMORS!$F$34)))))))))))))))))))))))))))))))</f>
        <v>40</v>
      </c>
    </row>
    <row r="46" spans="2:16" x14ac:dyDescent="0.25">
      <c r="B46" s="86" t="s">
        <v>192</v>
      </c>
      <c r="C46" s="86">
        <f>IF('DMG PLANNER'!$B$53="No Armor",ARMORS!$G$4,IF('DMG PLANNER'!$B$53="Leather Jacket",ARMORS!$G$5,IF('DMG PLANNER'!$B$53="Combat Leather Jacket",ARMORS!$G$6,IF('DMG PLANNER'!$B$53="Leather Armor",ARMORS!$G$7,IF('DMG PLANNER'!$B$53="Leather Armor MK2",ARMORS!$G$8,IF('DMG PLANNER'!$B$53="Metal Armor",ARMORS!$G$9,IF('DMG PLANNER'!$B$53="Metal Armor MK2",ARMORS!$G$10,IF('DMG PLANNER'!$B$53="Tesla Armor",ARMORS!$G$11,IF('DMG PLANNER'!$B$53="Combat Armor",ARMORS!$G$12,IF('DMG PLANNER'!$B$53="Combat Armor MK2",ARMORS!$G$13,IF('DMG PLANNER'!$B$53="Hubologist´s Robe",ARMORS!$G$14,IF('DMG PLANNER'!$B$53="Sand Robe",ARMORS!$G$15,IF('DMG PLANNER'!$B$53="Blue Robe",ARMORS!$G$16,IF('DMG PLANNER'!$B$53="Robes",ARMORS!$G$17,IF('DMG PLANNER'!$B$53="Red Robe",ARMORS!$G$18,IF('DMG PLANNER'!$B$53="Vault Dweller´s Jumpsuit",ARMORS!$G$19,IF('DMG PLANNER'!$B$53="Brotherhood Armor",ARMORS!$G$20,IF('DMG PLANNER'!$B$53="Desert Combat Armor",ARMORS!$G$21,IF('DMG PLANNER'!$B$53="Enclave Armor",ARMORS!$G$22,IF('DMG PLANNER'!$B$53="Navy Armor",ARMORS!$G$23,IF('DMG PLANNER'!$B$53="NCR Combat Armor",ARMORS!$G$24,IF('DMG PLANNER'!$B$53="NCR Combat Armor MK2",ARMORS!$G$25,IF('DMG PLANNER'!$B$53="Ranger Armor",ARMORS!$G$26,IF('DMG PLANNER'!$B$53="Barett´s Power Armor",ARMORS!$G$27,IF('DMG PLANNER'!$B$53="Power Armor",ARMORS!$G$28,IF('DMG PLANNER'!$B$53="Hardened Power Armor",ARMORS!$G$29,IF('DMG PLANNER'!$B$53="Advanced Power Armor",ARMORS!$G$30,IF('DMG PLANNER'!$B$53="Advanced Power Armor MK2",ARMORS!$G$31,IF('DMG PLANNER'!$B$53="Combat Robe",ARMORS!$G$32,IF('DMG PLANNER'!$B$53="Green Robe",ARMORS!$G$33,IF('DMG PLANNER'!$B$53="Robot Armor",ARMORS!$G$34)))))))))))))))))))))))))))))))</f>
        <v>9</v>
      </c>
      <c r="D46" s="86">
        <f>IF('DMG PLANNER'!$B$53="No Armor",ARMORS!$H$4,IF('DMG PLANNER'!$B$53="Leather Jacket",ARMORS!$H$5,IF('DMG PLANNER'!$B$53="Combat Leather Jacket",ARMORS!$H$6,IF('DMG PLANNER'!$B$53="Leather Armor",ARMORS!$H$7,IF('DMG PLANNER'!$B$53="Leather Armor MK2",ARMORS!$H$8,IF('DMG PLANNER'!$B$53="Metal Armor",ARMORS!$H$9,IF('DMG PLANNER'!$B$53="Metal Armor MK2",ARMORS!$H$10,IF('DMG PLANNER'!$B$53="Tesla Armor",ARMORS!$H$11,IF('DMG PLANNER'!$B$53="Combat Armor",ARMORS!$H$12,IF('DMG PLANNER'!$B$53="Combat Armor MK2",ARMORS!$H$13,IF('DMG PLANNER'!$B$53="Hubologist´s Robe",ARMORS!$H$14,IF('DMG PLANNER'!$B$53="Sand Robe",ARMORS!$H$15,IF('DMG PLANNER'!$B$53="Blue Robe",ARMORS!$H$16,IF('DMG PLANNER'!$B$53="Robes",ARMORS!$H$17,IF('DMG PLANNER'!$B$53="Red Robe",ARMORS!$H$18,IF('DMG PLANNER'!$B$53="Vault Dweller´s Jumpsuit",ARMORS!$H$19,IF('DMG PLANNER'!$B$53="Brotherhood Armor",ARMORS!$H$20,IF('DMG PLANNER'!$B$53="Desert Combat Armor",ARMORS!$H$21,IF('DMG PLANNER'!$B$53="Enclave Armor",ARMORS!$H$22,IF('DMG PLANNER'!$B$53="Navy Armor",ARMORS!$H$23,IF('DMG PLANNER'!$B$53="NCR Combat Armor",ARMORS!$H$24,IF('DMG PLANNER'!$B$53="NCR Combat Armor MK2",ARMORS!$H$25,IF('DMG PLANNER'!$B$53="Ranger Armor",ARMORS!$H$26,IF('DMG PLANNER'!$B$53="Barett´s Power Armor",ARMORS!$H$27,IF('DMG PLANNER'!$B$53="Power Armor",ARMORS!$H$28,IF('DMG PLANNER'!$B$53="Hardened Power Armor",ARMORS!$H$29,IF('DMG PLANNER'!$B$53="Advanced Power Armor",ARMORS!$H$30,IF('DMG PLANNER'!$B$53="Advanced Power Armor MK2",ARMORS!$H$31,IF('DMG PLANNER'!$B$53="Combat Robe",ARMORS!$H$32,IF('DMG PLANNER'!$B$53="Green Robe",ARMORS!$H$33,IF('DMG PLANNER'!$B$53="Robot Armor",ARMORS!$H$34)))))))))))))))))))))))))))))))</f>
        <v>50</v>
      </c>
    </row>
    <row r="47" spans="2:16" x14ac:dyDescent="0.25">
      <c r="B47" s="86" t="s">
        <v>193</v>
      </c>
      <c r="C47" s="86">
        <f>IF('DMG PLANNER'!$B$53="No Armor",ARMORS!$I$4,IF('DMG PLANNER'!$B$53="Leather Jacket",ARMORS!$I$5,IF('DMG PLANNER'!$B$53="Combat Leather Jacket",ARMORS!$I$6,IF('DMG PLANNER'!$B$53="Leather Armor",ARMORS!$I$7,IF('DMG PLANNER'!$B$53="Leather Armor MK2",ARMORS!$I$8,IF('DMG PLANNER'!$B$53="Metal Armor",ARMORS!$I$9,IF('DMG PLANNER'!$B$53="Metal Armor MK2",ARMORS!$I$10,IF('DMG PLANNER'!$B$53="Tesla Armor",ARMORS!$I$11,IF('DMG PLANNER'!$B$53="Combat Armor",ARMORS!$I$12,IF('DMG PLANNER'!$B$53="Combat Armor MK2",ARMORS!$I$13,IF('DMG PLANNER'!$B$53="Hubologist´s Robe",ARMORS!$I$14,IF('DMG PLANNER'!$B$53="Sand Robe",ARMORS!$I$15,IF('DMG PLANNER'!$B$53="Blue Robe",ARMORS!$I$16,IF('DMG PLANNER'!$B$53="Robes",ARMORS!$I$17,IF('DMG PLANNER'!$B$53="Red Robe",ARMORS!$I$18,IF('DMG PLANNER'!$B$53="Vault Dweller´s Jumpsuit",ARMORS!$I$19,IF('DMG PLANNER'!$B$53="Brotherhood Armor",ARMORS!$I$20,IF('DMG PLANNER'!$B$53="Desert Combat Armor",ARMORS!$I$21,IF('DMG PLANNER'!$B$53="Enclave Armor",ARMORS!$I$22,IF('DMG PLANNER'!$B$53="Navy Armor",ARMORS!$I$23,IF('DMG PLANNER'!$B$53="NCR Combat Armor",ARMORS!$I$24,IF('DMG PLANNER'!$B$53="NCR Combat Armor MK2",ARMORS!$I$25,IF('DMG PLANNER'!$B$53="Ranger Armor",ARMORS!$I$26,IF('DMG PLANNER'!$B$53="Barett´s Power Armor",ARMORS!$I$27,IF('DMG PLANNER'!$B$53="Power Armor",ARMORS!$I$28,IF('DMG PLANNER'!$B$53="Hardened Power Armor",ARMORS!$I$29,IF('DMG PLANNER'!$B$53="Advanced Power Armor",ARMORS!$I$30,IF('DMG PLANNER'!$B$53="Advanced Power Armor MK2",ARMORS!$I$31,IF('DMG PLANNER'!$B$53="Combat Robe",ARMORS!$I$32,IF('DMG PLANNER'!$B$53="Green Robe",ARMORS!$I$33,IF('DMG PLANNER'!$B$53="Robot Armor",ARMORS!$I$34)))))))))))))))))))))))))))))))</f>
        <v>5</v>
      </c>
      <c r="D47" s="86">
        <f>IF('DMG PLANNER'!$B$53="No Armor",ARMORS!$J$4,IF('DMG PLANNER'!$B$53="Leather Jacket",ARMORS!$J$5,IF('DMG PLANNER'!$B$53="Combat Leather Jacket",ARMORS!$J$6,IF('DMG PLANNER'!$B$53="Leather Armor",ARMORS!$J$7,IF('DMG PLANNER'!$B$53="Leather Armor MK2",ARMORS!$J$8,IF('DMG PLANNER'!$B$53="Metal Armor",ARMORS!$J$9,IF('DMG PLANNER'!$B$53="Metal Armor MK2",ARMORS!$J$10,IF('DMG PLANNER'!$B$53="Tesla Armor",ARMORS!$J$11,IF('DMG PLANNER'!$B$53="Combat Armor",ARMORS!$J$12,IF('DMG PLANNER'!$B$53="Combat Armor MK2",ARMORS!$J$13,IF('DMG PLANNER'!$B$53="Hubologist´s Robe",ARMORS!$J$14,IF('DMG PLANNER'!$B$53="Sand Robe",ARMORS!$J$15,IF('DMG PLANNER'!$B$53="Blue Robe",ARMORS!$J$16,IF('DMG PLANNER'!$B$53="Robes",ARMORS!$J$17,IF('DMG PLANNER'!$B$53="Red Robe",ARMORS!$J$18,IF('DMG PLANNER'!$B$53="Vault Dweller´s Jumpsuit",ARMORS!$J$19,IF('DMG PLANNER'!$B$53="Brotherhood Armor",ARMORS!$J$20,IF('DMG PLANNER'!$B$53="Desert Combat Armor",ARMORS!$J$21,IF('DMG PLANNER'!$B$53="Enclave Armor",ARMORS!$J$22,IF('DMG PLANNER'!$B$53="Navy Armor",ARMORS!$J$23,IF('DMG PLANNER'!$B$53="NCR Combat Armor",ARMORS!$J$24,IF('DMG PLANNER'!$B$53="NCR Combat Armor MK2",ARMORS!$J$25,IF('DMG PLANNER'!$B$53="Ranger Armor",ARMORS!$J$26,IF('DMG PLANNER'!$B$53="Barett´s Power Armor",ARMORS!$J$27,IF('DMG PLANNER'!$B$53="Power Armor",ARMORS!$J$28,IF('DMG PLANNER'!$B$53="Hardened Power Armor",ARMORS!$J$29,IF('DMG PLANNER'!$B$53="Advanced Power Armor",ARMORS!$J$30,IF('DMG PLANNER'!$B$53="Advanced Power Armor MK2",ARMORS!$J$31,IF('DMG PLANNER'!$B$53="Combat Robe",ARMORS!$J$32,IF('DMG PLANNER'!$B$53="Green Robe",ARMORS!$J$33,IF('DMG PLANNER'!$B$53="Robot Armor",ARMORS!$J$34)))))))))))))))))))))))))))))))</f>
        <v>35</v>
      </c>
    </row>
    <row r="48" spans="2:16" x14ac:dyDescent="0.25">
      <c r="B48" s="86" t="s">
        <v>194</v>
      </c>
      <c r="C48" s="86">
        <f>IF('DMG PLANNER'!$B$53="No Armor",ARMORS!$K$4,IF('DMG PLANNER'!$B$53="Leather Jacket",ARMORS!$K$5,IF('DMG PLANNER'!$B$53="Combat Leather Jacket",ARMORS!$K$6,IF('DMG PLANNER'!$B$53="Leather Armor",ARMORS!$K$7,IF('DMG PLANNER'!$B$53="Leather Armor MK2",ARMORS!$K$8,IF('DMG PLANNER'!$B$53="Metal Armor",ARMORS!$K$9,IF('DMG PLANNER'!$B$53="Metal Armor MK2",ARMORS!$K$10,IF('DMG PLANNER'!$B$53="Tesla Armor",ARMORS!$K$11,IF('DMG PLANNER'!$B$53="Combat Armor",ARMORS!$K$12,IF('DMG PLANNER'!$B$53="Combat Armor MK2",ARMORS!$K$13,IF('DMG PLANNER'!$B$53="Hubologist´s Robe",ARMORS!$K$14,IF('DMG PLANNER'!$B$53="Sand Robe",ARMORS!$K$15,IF('DMG PLANNER'!$B$53="Blue Robe",ARMORS!$K$16,IF('DMG PLANNER'!$B$53="Robes",ARMORS!$K$17,IF('DMG PLANNER'!$B$53="Red Robe",ARMORS!$K$18,IF('DMG PLANNER'!$B$53="Vault Dweller´s Jumpsuit",ARMORS!$K$19,IF('DMG PLANNER'!$B$53="Brotherhood Armor",ARMORS!$K$20,IF('DMG PLANNER'!$B$53="Desert Combat Armor",ARMORS!$K$21,IF('DMG PLANNER'!$B$53="Enclave Armor",ARMORS!$K$22,IF('DMG PLANNER'!$B$53="Navy Armor",ARMORS!$K$23,IF('DMG PLANNER'!$B$53="NCR Combat Armor",ARMORS!$K$24,IF('DMG PLANNER'!$B$53="NCR Combat Armor MK2",ARMORS!$K$25,IF('DMG PLANNER'!$B$53="Ranger Armor",ARMORS!$K$26,IF('DMG PLANNER'!$B$53="Barett´s Power Armor",ARMORS!$K$27,IF('DMG PLANNER'!$B$53="Power Armor",ARMORS!$K$28,IF('DMG PLANNER'!$B$53="Hardened Power Armor",ARMORS!$K$29,IF('DMG PLANNER'!$B$53="Advanced Power Armor",ARMORS!$K$30,IF('DMG PLANNER'!$B$53="Advanced Power Armor MK2",ARMORS!$K$31,IF('DMG PLANNER'!$B$53="Combat Robe",ARMORS!$K$32,IF('DMG PLANNER'!$B$53="Green Robe",ARMORS!$K$33,IF('DMG PLANNER'!$B$53="Robot Armor",ARMORS!$K$34)))))))))))))))))))))))))))))))</f>
        <v>5</v>
      </c>
      <c r="D48" s="86">
        <f>IF('DMG PLANNER'!$B$53="No Armor",ARMORS!$L$4,IF('DMG PLANNER'!$B$53="Leather Jacket",ARMORS!$L$5,IF('DMG PLANNER'!$B$53="Combat Leather Jacket",ARMORS!$L$6,IF('DMG PLANNER'!$B$53="Leather Armor",ARMORS!$L$7,IF('DMG PLANNER'!$B$53="Leather Armor MK2",ARMORS!$L$8,IF('DMG PLANNER'!$B$53="Metal Armor",ARMORS!$L$9,IF('DMG PLANNER'!$B$53="Metal Armor MK2",ARMORS!$L$10,IF('DMG PLANNER'!$B$53="Tesla Armor",ARMORS!$L$11,IF('DMG PLANNER'!$B$53="Combat Armor",ARMORS!$L$12,IF('DMG PLANNER'!$B$53="Combat Armor MK2",ARMORS!$L$13,IF('DMG PLANNER'!$B$53="Hubologist´s Robe",ARMORS!$L$14,IF('DMG PLANNER'!$B$53="Sand Robe",ARMORS!$L$15,IF('DMG PLANNER'!$B$53="Blue Robe",ARMORS!$L$16,IF('DMG PLANNER'!$B$53="Robes",ARMORS!$L$17,IF('DMG PLANNER'!$B$53="Red Robe",ARMORS!$L$18,IF('DMG PLANNER'!$B$53="Vault Dweller´s Jumpsuit",ARMORS!$L$19,IF('DMG PLANNER'!$B$53="Brotherhood Armor",ARMORS!$L$20,IF('DMG PLANNER'!$B$53="Desert Combat Armor",ARMORS!$L$21,IF('DMG PLANNER'!$B$53="Enclave Armor",ARMORS!$L$22,IF('DMG PLANNER'!$B$53="Navy Armor",ARMORS!$L$23,IF('DMG PLANNER'!$B$53="NCR Combat Armor",ARMORS!$L$24,IF('DMG PLANNER'!$B$53="NCR Combat Armor MK2",ARMORS!$L$25,IF('DMG PLANNER'!$B$53="Ranger Armor",ARMORS!$L$26,IF('DMG PLANNER'!$B$53="Barett´s Power Armor",ARMORS!$L$27,IF('DMG PLANNER'!$B$53="Power Armor",ARMORS!$L$28,IF('DMG PLANNER'!$B$53="Hardened Power Armor",ARMORS!$L$29,IF('DMG PLANNER'!$B$53="Advanced Power Armor",ARMORS!$L$30,IF('DMG PLANNER'!$B$53="Advanced Power Armor MK2",ARMORS!$L$31,IF('DMG PLANNER'!$B$53="Combat Robe",ARMORS!$L$32,IF('DMG PLANNER'!$B$53="Green Robe",ARMORS!$L$33,IF('DMG PLANNER'!$B$53="Robot Armor",ARMORS!$L$34)))))))))))))))))))))))))))))))</f>
        <v>30</v>
      </c>
    </row>
    <row r="49" spans="2:4" x14ac:dyDescent="0.25">
      <c r="B49" s="86" t="s">
        <v>195</v>
      </c>
      <c r="C49" s="86">
        <f>IF('DMG PLANNER'!$B$53="No Armor",ARMORS!$M$4,IF('DMG PLANNER'!$B$53="Leather Jacket",ARMORS!$M$5,IF('DMG PLANNER'!$B$53="Combat Leather Jacket",ARMORS!$M$6,IF('DMG PLANNER'!$B$53="Leather Armor",ARMORS!$M$7,IF('DMG PLANNER'!$B$53="Leather Armor MK2",ARMORS!$M$8,IF('DMG PLANNER'!$B$53="Metal Armor",ARMORS!$M$9,IF('DMG PLANNER'!$B$53="Metal Armor MK2",ARMORS!$M$10,IF('DMG PLANNER'!$B$53="Tesla Armor",ARMORS!$M$11,IF('DMG PLANNER'!$B$53="Combat Armor",ARMORS!$M$12,IF('DMG PLANNER'!$B$53="Combat Armor MK2",ARMORS!$M$13,IF('DMG PLANNER'!$B$53="Hubologist´s Robe",ARMORS!$M$14,IF('DMG PLANNER'!$B$53="Sand Robe",ARMORS!$M$15,IF('DMG PLANNER'!$B$53="Blue Robe",ARMORS!$M$16,IF('DMG PLANNER'!$B$53="Robes",ARMORS!$M$17,IF('DMG PLANNER'!$B$53="Red Robe",ARMORS!$M$18,IF('DMG PLANNER'!$B$53="Vault Dweller´s Jumpsuit",ARMORS!$M$19,IF('DMG PLANNER'!$B$53="Brotherhood Armor",ARMORS!$M$20,IF('DMG PLANNER'!$B$53="Desert Combat Armor",ARMORS!$M$21,IF('DMG PLANNER'!$B$53="Enclave Armor",ARMORS!$M$22,IF('DMG PLANNER'!$B$53="Navy Armor",ARMORS!$M$23,IF('DMG PLANNER'!$B$53="NCR Combat Armor",ARMORS!$M$24,IF('DMG PLANNER'!$B$53="NCR Combat Armor MK2",ARMORS!$M$25,IF('DMG PLANNER'!$B$53="Ranger Armor",ARMORS!$M$26,IF('DMG PLANNER'!$B$53="Barett´s Power Armor",ARMORS!$M$27,IF('DMG PLANNER'!$B$53="Power Armor",ARMORS!$M$28,IF('DMG PLANNER'!$B$53="Hardened Power Armor",ARMORS!$M$29,IF('DMG PLANNER'!$B$53="Advanced Power Armor",ARMORS!$M$30,IF('DMG PLANNER'!$B$53="Advanced Power Armor MK2",ARMORS!$M$31,IF('DMG PLANNER'!$B$53="Combat Robe",ARMORS!$M$32,IF('DMG PLANNER'!$B$53="Green Robe",ARMORS!$M$33,IF('DMG PLANNER'!$B$53="Robot Armor",ARMORS!$M$34)))))))))))))))))))))))))))))))</f>
        <v>9</v>
      </c>
      <c r="D49" s="86">
        <f>IF('DMG PLANNER'!$B$53="No Armor",ARMORS!$N$4,IF('DMG PLANNER'!$B$53="Leather Jacket",ARMORS!$N$5,IF('DMG PLANNER'!$B$53="Combat Leather Jacket",ARMORS!$N$6,IF('DMG PLANNER'!$B$53="Leather Armor",ARMORS!$N$7,IF('DMG PLANNER'!$B$53="Leather Armor MK2",ARMORS!$N$8,IF('DMG PLANNER'!$B$53="Metal Armor",ARMORS!$N$9,IF('DMG PLANNER'!$B$53="Metal Armor MK2",ARMORS!$N$10,IF('DMG PLANNER'!$B$53="Tesla Armor",ARMORS!$N$11,IF('DMG PLANNER'!$B$53="Combat Armor",ARMORS!$N$12,IF('DMG PLANNER'!$B$53="Combat Armor MK2",ARMORS!$N$13,IF('DMG PLANNER'!$B$53="Hubologist´s Robe",ARMORS!$N$14,IF('DMG PLANNER'!$B$53="Sand Robe",ARMORS!$N$15,IF('DMG PLANNER'!$B$53="Blue Robe",ARMORS!$N$16,IF('DMG PLANNER'!$B$53="Robes",ARMORS!$N$17,IF('DMG PLANNER'!$B$53="Red Robe",ARMORS!$N$18,IF('DMG PLANNER'!$B$53="Vault Dweller´s Jumpsuit",ARMORS!$N$19,IF('DMG PLANNER'!$B$53="Brotherhood Armor",ARMORS!$N$20,IF('DMG PLANNER'!$B$53="Desert Combat Armor",ARMORS!$N$21,IF('DMG PLANNER'!$B$53="Enclave Armor",ARMORS!$N$22,IF('DMG PLANNER'!$B$53="Navy Armor",ARMORS!$N$23,IF('DMG PLANNER'!$B$53="NCR Combat Armor",ARMORS!$N$24,IF('DMG PLANNER'!$B$53="NCR Combat Armor MK2",ARMORS!$N$25,IF('DMG PLANNER'!$B$53="Ranger Armor",ARMORS!$N$26,IF('DMG PLANNER'!$B$53="Barett´s Power Armor",ARMORS!$N$27,IF('DMG PLANNER'!$B$53="Power Armor",ARMORS!$N$28,IF('DMG PLANNER'!$B$53="Hardened Power Armor",ARMORS!$N$29,IF('DMG PLANNER'!$B$53="Advanced Power Armor",ARMORS!$N$30,IF('DMG PLANNER'!$B$53="Advanced Power Armor MK2",ARMORS!$N$31,IF('DMG PLANNER'!$B$53="Combat Robe",ARMORS!$N$32,IF('DMG PLANNER'!$B$53="Green Robe",ARMORS!$N$33,IF('DMG PLANNER'!$B$53="Robot Armor",ARMORS!$N$34)))))))))))))))))))))))))))))))</f>
        <v>45</v>
      </c>
    </row>
    <row r="50" spans="2:4" x14ac:dyDescent="0.25">
      <c r="B50" s="86" t="s">
        <v>196</v>
      </c>
      <c r="C50" s="86">
        <f>IF('DMG PLANNER'!$B$53="No Armor",ARMORS!$O$4,IF('DMG PLANNER'!$B$53="Leather Jacket",ARMORS!$O$5,IF('DMG PLANNER'!$B$53="Combat Leather Jacket",ARMORS!$O$6,IF('DMG PLANNER'!$B$53="Leather Armor",ARMORS!$O$7,IF('DMG PLANNER'!$B$53="Leather Armor MK2",ARMORS!$O$8,IF('DMG PLANNER'!$B$53="Metal Armor",ARMORS!$O$9,IF('DMG PLANNER'!$B$53="Metal Armor MK2",ARMORS!$O$10,IF('DMG PLANNER'!$B$53="Tesla Armor",ARMORS!$O$11,IF('DMG PLANNER'!$B$53="Combat Armor",ARMORS!$O$12,IF('DMG PLANNER'!$B$53="Combat Armor MK2",ARMORS!$O$13,IF('DMG PLANNER'!$B$53="Hubologist´s Robe",ARMORS!$O$14,IF('DMG PLANNER'!$B$53="Sand Robe",ARMORS!$O$15,IF('DMG PLANNER'!$B$53="Blue Robe",ARMORS!$O$16,IF('DMG PLANNER'!$B$53="Robes",ARMORS!$O$17,IF('DMG PLANNER'!$B$53="Red Robe",ARMORS!$O$18,IF('DMG PLANNER'!$B$53="Vault Dweller´s Jumpsuit",ARMORS!$O$19,IF('DMG PLANNER'!$B$53="Brotherhood Armor",ARMORS!$O$20,IF('DMG PLANNER'!$B$53="Desert Combat Armor",ARMORS!$O$21,IF('DMG PLANNER'!$B$53="Enclave Armor",ARMORS!$O$22,IF('DMG PLANNER'!$B$53="Navy Armor",ARMORS!$O$23,IF('DMG PLANNER'!$B$53="NCR Combat Armor",ARMORS!$O$24,IF('DMG PLANNER'!$B$53="NCR Combat Armor MK2",ARMORS!$O$25,IF('DMG PLANNER'!$B$53="Ranger Armor",ARMORS!$O$26,IF('DMG PLANNER'!$B$53="Barett´s Power Armor",ARMORS!$O$27,IF('DMG PLANNER'!$B$53="Power Armor",ARMORS!$O$28,IF('DMG PLANNER'!$B$53="Hardened Power Armor",ARMORS!$O$29,IF('DMG PLANNER'!$B$53="Advanced Power Armor",ARMORS!$O$30,IF('DMG PLANNER'!$B$53="Advanced Power Armor MK2",ARMORS!$O$31,IF('DMG PLANNER'!$B$53="Combat Robe",ARMORS!$O$32,IF('DMG PLANNER'!$B$53="Green Robe",ARMORS!$O$33,IF('DMG PLANNER'!$B$53="Robot Armor",ARMORS!$O$34)))))))))))))))))))))))))))))))</f>
        <v>2</v>
      </c>
      <c r="D50" s="86">
        <f>IF('DMG PLANNER'!$B$53="No Armor",ARMORS!$P$4,IF('DMG PLANNER'!$B$53="Leather Jacket",ARMORS!$P$5,IF('DMG PLANNER'!$B$53="Combat Leather Jacket",ARMORS!$P$6,IF('DMG PLANNER'!$B$53="Leather Armor",ARMORS!$P$7,IF('DMG PLANNER'!$B$53="Leather Armor MK2",ARMORS!$P$8,IF('DMG PLANNER'!$B$53="Metal Armor",ARMORS!$P$9,IF('DMG PLANNER'!$B$53="Metal Armor MK2",ARMORS!$P$10,IF('DMG PLANNER'!$B$53="Tesla Armor",ARMORS!$P$11,IF('DMG PLANNER'!$B$53="Combat Armor",ARMORS!$P$12,IF('DMG PLANNER'!$B$53="Combat Armor MK2",ARMORS!$P$13,IF('DMG PLANNER'!$B$53="Hubologist´s Robe",ARMORS!$P$14,IF('DMG PLANNER'!$B$53="Sand Robe",ARMORS!$P$15,IF('DMG PLANNER'!$B$53="Blue Robe",ARMORS!$P$16,IF('DMG PLANNER'!$B$53="Robes",ARMORS!$P$17,IF('DMG PLANNER'!$B$53="Red Robe",ARMORS!$P$18,IF('DMG PLANNER'!$B$53="Vault Dweller´s Jumpsuit",ARMORS!$P$19,IF('DMG PLANNER'!$B$53="Brotherhood Armor",ARMORS!$P$20,IF('DMG PLANNER'!$B$53="Desert Combat Armor",ARMORS!$P$21,IF('DMG PLANNER'!$B$53="Enclave Armor",ARMORS!$P$22,IF('DMG PLANNER'!$B$53="Navy Armor",ARMORS!$P$23,IF('DMG PLANNER'!$B$53="NCR Combat Armor",ARMORS!$P$24,IF('DMG PLANNER'!$B$53="NCR Combat Armor MK2",ARMORS!$P$25,IF('DMG PLANNER'!$B$53="Ranger Armor",ARMORS!$P$26,IF('DMG PLANNER'!$B$53="Barett´s Power Armor",ARMORS!$P$27,IF('DMG PLANNER'!$B$53="Power Armor",ARMORS!$P$28,IF('DMG PLANNER'!$B$53="Hardened Power Armor",ARMORS!$P$29,IF('DMG PLANNER'!$B$53="Advanced Power Armor",ARMORS!$P$30,IF('DMG PLANNER'!$B$53="Advanced Power Armor MK2",ARMORS!$P$31,IF('DMG PLANNER'!$B$53="Combat Robe",ARMORS!$P$32,IF('DMG PLANNER'!$B$53="Green Robe",ARMORS!$P$33,IF('DMG PLANNER'!$B$53="Robot Armor",ARMORS!$P$34)))))))))))))))))))))))))))))))</f>
        <v>25</v>
      </c>
    </row>
    <row r="51" spans="2:4" x14ac:dyDescent="0.25">
      <c r="B51" s="86" t="s">
        <v>199</v>
      </c>
      <c r="C51" s="86">
        <f>IF('DMG PLANNER'!$B$53="No Armor",ARMORS!$C$4,IF('DMG PLANNER'!$B$53="Leather Jacket",ARMORS!$C$5,IF('DMG PLANNER'!$B$53="Combat Leather Jacket",ARMORS!$C$6,IF('DMG PLANNER'!$B$53="Leather Armor",ARMORS!$C$7,IF('DMG PLANNER'!$B$53="Leather Armor MK2",ARMORS!$C$8,IF('DMG PLANNER'!$B$53="Metal Armor",ARMORS!$C$9,IF('DMG PLANNER'!$B$53="Metal Armor MK2",ARMORS!$C$10,IF('DMG PLANNER'!$B$53="Tesla Armor",ARMORS!$C$11,IF('DMG PLANNER'!$B$53="Combat Armor",ARMORS!$C$12,IF('DMG PLANNER'!$B$53="Combat Armor MK2",ARMORS!$C$13,IF('DMG PLANNER'!$B$53="Hubologist´s Robe",ARMORS!$C$14,IF('DMG PLANNER'!$B$53="Sand Robe",ARMORS!$C$15,IF('DMG PLANNER'!$B$53="Blue Robe",ARMORS!$C$16,IF('DMG PLANNER'!$B$53="Robes",ARMORS!$C$17,IF('DMG PLANNER'!$B$53="Red Robe",ARMORS!$C$18,IF('DMG PLANNER'!$B$53="Vault Dweller´s Jumpsuit",ARMORS!$C$19,IF('DMG PLANNER'!$B$53="Brotherhood Armor",ARMORS!$C$20,IF('DMG PLANNER'!$B$53="Desert Combat Armor",ARMORS!$C$21,IF('DMG PLANNER'!$B$53="Enclave Armor",ARMORS!$C$22,IF('DMG PLANNER'!$B$53="Navy Armor",ARMORS!$C$23,IF('DMG PLANNER'!$B$53="NCR Combat Armor",ARMORS!$C$24,IF('DMG PLANNER'!$B$53="NCR Combat Armor MK2",ARMORS!$C$25,IF('DMG PLANNER'!$B$53="Ranger Armor",ARMORS!$C$26,IF('DMG PLANNER'!$B$53="Barett´s Power Armor",ARMORS!$C$27,IF('DMG PLANNER'!$B$53="Power Armor",ARMORS!$C$28,IF('DMG PLANNER'!$B$53="Hardened Power Armor",ARMORS!$C$29,IF('DMG PLANNER'!$B$53="Advanced Power Armor",ARMORS!$C$30,IF('DMG PLANNER'!$B$53="Advanced Power Armor MK2",ARMORS!$C$31,IF('DMG PLANNER'!$B$53="Combat Robe",ARMORS!$C$32,IF('DMG PLANNER'!$B$53="Green Robe",ARMORS!$C$33,IF('DMG PLANNER'!$B$53="Robot Armor",ARMORS!$C$34)))))))))))))))))))))))))))))))</f>
        <v>25</v>
      </c>
    </row>
    <row r="52" spans="2:4" x14ac:dyDescent="0.25">
      <c r="B52" s="86" t="s">
        <v>51</v>
      </c>
      <c r="C52" s="86">
        <f>IF('DMG PLANNER'!$B$53="No Armor",ARMORS!$D$4,IF('DMG PLANNER'!$B$53="Leather Jacket",ARMORS!$D$5,IF('DMG PLANNER'!$B$53="Combat Leather Jacket",ARMORS!$D$6,IF('DMG PLANNER'!$B$53="Leather Armor",ARMORS!$D$7,IF('DMG PLANNER'!$B$53="Leather Armor MK2",ARMORS!$D$8,IF('DMG PLANNER'!$B$53="Metal Armor",ARMORS!$D$9,IF('DMG PLANNER'!$B$53="Metal Armor MK2",ARMORS!$D$10,IF('DMG PLANNER'!$B$53="Tesla Armor",ARMORS!$D$11,IF('DMG PLANNER'!$B$53="Combat Armor",ARMORS!$D$12,IF('DMG PLANNER'!$B$53="Combat Armor MK2",ARMORS!$D$13,IF('DMG PLANNER'!$B$53="Hubologist´s Robe",ARMORS!$D$14,IF('DMG PLANNER'!$B$53="Sand Robe",ARMORS!$D$15,IF('DMG PLANNER'!$B$53="Blue Robe",ARMORS!$D$16,IF('DMG PLANNER'!$B$53="Robes",ARMORS!$D$17,IF('DMG PLANNER'!$B$53="Red Robe",ARMORS!$D$18,IF('DMG PLANNER'!$B$53="Vault Dweller´s Jumpsuit",ARMORS!$D$19,IF('DMG PLANNER'!$B$53="Brotherhood Armor",ARMORS!$D$20,IF('DMG PLANNER'!$B$53="Desert Combat Armor",ARMORS!$D$21,IF('DMG PLANNER'!$B$53="Enclave Armor",ARMORS!$D$22,IF('DMG PLANNER'!$B$53="Navy Armor",ARMORS!$D$23,IF('DMG PLANNER'!$B$53="NCR Combat Armor",ARMORS!$D$24,IF('DMG PLANNER'!$B$53="NCR Combat Armor MK2",ARMORS!$D$25,IF('DMG PLANNER'!$B$53="Ranger Armor",ARMORS!$D$26,IF('DMG PLANNER'!$B$53="Barett´s Power Armor",ARMORS!$D$27,IF('DMG PLANNER'!$B$53="Power Armor",ARMORS!$D$28,IF('DMG PLANNER'!$B$53="Hardened Power Armor",ARMORS!$D$29,IF('DMG PLANNER'!$B$53="Advanced Power Armor",ARMORS!$D$30,IF('DMG PLANNER'!$B$53="Advanced Power Armor MK2",ARMORS!$D$31,IF('DMG PLANNER'!$B$53="Combat Robe",ARMORS!$D$32,IF('DMG PLANNER'!$B$53="Green Robe",ARMORS!$D$33,IF('DMG PLANNER'!$B$53="Robot Armor",ARMORS!$D$34)))))))))))))))))))))))))))))))</f>
        <v>5</v>
      </c>
    </row>
    <row r="58" spans="2:4" x14ac:dyDescent="0.25">
      <c r="B58" s="86" t="s">
        <v>229</v>
      </c>
    </row>
    <row r="59" spans="2:4" x14ac:dyDescent="0.25">
      <c r="B59" s="86" t="s">
        <v>204</v>
      </c>
      <c r="C59" s="86" t="s">
        <v>238</v>
      </c>
      <c r="D59" s="86" t="s">
        <v>239</v>
      </c>
    </row>
    <row r="60" spans="2:4" x14ac:dyDescent="0.25">
      <c r="B60" s="86">
        <v>0</v>
      </c>
      <c r="C60" s="86">
        <v>0</v>
      </c>
      <c r="D60" s="86">
        <v>0</v>
      </c>
    </row>
    <row r="61" spans="2:4" x14ac:dyDescent="0.25">
      <c r="B61" s="86">
        <v>1</v>
      </c>
      <c r="C61" s="86">
        <v>1</v>
      </c>
      <c r="D61" s="86">
        <v>1</v>
      </c>
    </row>
    <row r="62" spans="2:4" x14ac:dyDescent="0.25">
      <c r="B62" s="86">
        <v>2</v>
      </c>
      <c r="C62" s="86">
        <v>2</v>
      </c>
      <c r="D62" s="86">
        <v>2</v>
      </c>
    </row>
    <row r="63" spans="2:4" x14ac:dyDescent="0.25">
      <c r="B63" s="86">
        <v>3</v>
      </c>
      <c r="C63" s="86">
        <v>3</v>
      </c>
      <c r="D63" s="86">
        <v>3</v>
      </c>
    </row>
    <row r="64" spans="2:4" x14ac:dyDescent="0.25">
      <c r="B64" s="86">
        <v>4</v>
      </c>
      <c r="C64" s="86">
        <v>4</v>
      </c>
      <c r="D64" s="86">
        <v>4</v>
      </c>
    </row>
    <row r="65" spans="2:4" x14ac:dyDescent="0.25">
      <c r="B65" s="86">
        <v>5</v>
      </c>
      <c r="D65" s="86">
        <v>5</v>
      </c>
    </row>
    <row r="66" spans="2:4" x14ac:dyDescent="0.25">
      <c r="B66" s="86">
        <v>6</v>
      </c>
      <c r="D66" s="86">
        <v>6</v>
      </c>
    </row>
    <row r="67" spans="2:4" x14ac:dyDescent="0.25">
      <c r="B67" s="86">
        <v>7</v>
      </c>
      <c r="D67" s="86">
        <v>7</v>
      </c>
    </row>
    <row r="68" spans="2:4" x14ac:dyDescent="0.25">
      <c r="B68" s="86">
        <v>8</v>
      </c>
      <c r="D68" s="86">
        <v>8</v>
      </c>
    </row>
    <row r="69" spans="2:4" x14ac:dyDescent="0.25">
      <c r="B69" s="86">
        <v>9</v>
      </c>
      <c r="D69" s="86">
        <v>9</v>
      </c>
    </row>
    <row r="70" spans="2:4" x14ac:dyDescent="0.25">
      <c r="B70" s="86">
        <v>10</v>
      </c>
      <c r="D70" s="86">
        <v>10</v>
      </c>
    </row>
    <row r="71" spans="2:4" x14ac:dyDescent="0.25">
      <c r="B71" s="86">
        <v>11</v>
      </c>
    </row>
    <row r="72" spans="2:4" x14ac:dyDescent="0.25">
      <c r="B72" s="86">
        <v>12</v>
      </c>
    </row>
  </sheetData>
  <dataConsolidate/>
  <mergeCells count="6">
    <mergeCell ref="O2:P2"/>
    <mergeCell ref="E2:F2"/>
    <mergeCell ref="G2:H2"/>
    <mergeCell ref="I2:J2"/>
    <mergeCell ref="K2:L2"/>
    <mergeCell ref="M2:N2"/>
  </mergeCells>
  <dataValidations count="1">
    <dataValidation type="list" allowBlank="1" showInputMessage="1" showErrorMessage="1" sqref="B42">
      <formula1>ARMORS1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8</vt:i4>
      </vt:variant>
      <vt:variant>
        <vt:lpstr>Nimetyt alueet</vt:lpstr>
      </vt:variant>
      <vt:variant>
        <vt:i4>42</vt:i4>
      </vt:variant>
    </vt:vector>
  </HeadingPairs>
  <TitlesOfParts>
    <vt:vector size="50" baseType="lpstr">
      <vt:lpstr>DMG PLANNER</vt:lpstr>
      <vt:lpstr>CRIT TABLES</vt:lpstr>
      <vt:lpstr>Graphics</vt:lpstr>
      <vt:lpstr>WEAPONS</vt:lpstr>
      <vt:lpstr>AMMOS</vt:lpstr>
      <vt:lpstr>ATTACKER STATS</vt:lpstr>
      <vt:lpstr>TARGET STATS</vt:lpstr>
      <vt:lpstr>ARMORS</vt:lpstr>
      <vt:lpstr>AMMOS</vt:lpstr>
      <vt:lpstr>Anticrit</vt:lpstr>
      <vt:lpstr>ANTICRITICAL</vt:lpstr>
      <vt:lpstr>ARMORS</vt:lpstr>
      <vt:lpstr>ARMORS1</vt:lpstr>
      <vt:lpstr>AttackerImplants</vt:lpstr>
      <vt:lpstr>BC</vt:lpstr>
      <vt:lpstr>bonehead</vt:lpstr>
      <vt:lpstr>BRD</vt:lpstr>
      <vt:lpstr>Bruiser</vt:lpstr>
      <vt:lpstr>CritChance</vt:lpstr>
      <vt:lpstr>critchance1</vt:lpstr>
      <vt:lpstr>CritRoll</vt:lpstr>
      <vt:lpstr>critroll1</vt:lpstr>
      <vt:lpstr>DefenceI</vt:lpstr>
      <vt:lpstr>Endurance</vt:lpstr>
      <vt:lpstr>fastshot</vt:lpstr>
      <vt:lpstr>Finesse</vt:lpstr>
      <vt:lpstr>Glow</vt:lpstr>
      <vt:lpstr>kamikaze</vt:lpstr>
      <vt:lpstr>living</vt:lpstr>
      <vt:lpstr>LUCK</vt:lpstr>
      <vt:lpstr>luck1</vt:lpstr>
      <vt:lpstr>MaxDmg</vt:lpstr>
      <vt:lpstr>maxdmg1</vt:lpstr>
      <vt:lpstr>MeeleeDMG</vt:lpstr>
      <vt:lpstr>MinDmg</vt:lpstr>
      <vt:lpstr>mindmg1</vt:lpstr>
      <vt:lpstr>MoreCritical</vt:lpstr>
      <vt:lpstr>Mutant</vt:lpstr>
      <vt:lpstr>onehander</vt:lpstr>
      <vt:lpstr>PSYCHO</vt:lpstr>
      <vt:lpstr>pyro</vt:lpstr>
      <vt:lpstr>Resist</vt:lpstr>
      <vt:lpstr>SG</vt:lpstr>
      <vt:lpstr>Smallframe</vt:lpstr>
      <vt:lpstr>strenght</vt:lpstr>
      <vt:lpstr>TOUGHNESS</vt:lpstr>
      <vt:lpstr>TOUGHNESS1</vt:lpstr>
      <vt:lpstr>Treshold</vt:lpstr>
      <vt:lpstr>Treshold1</vt:lpstr>
      <vt:lpstr>WEAPONS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Dqu</dc:creator>
  <cp:lastModifiedBy>Dqu</cp:lastModifiedBy>
  <dcterms:created xsi:type="dcterms:W3CDTF">2016-10-23T10:40:36Z</dcterms:created>
  <dcterms:modified xsi:type="dcterms:W3CDTF">2016-12-23T06:37:00Z</dcterms:modified>
</cp:coreProperties>
</file>